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EstaPasta_de_trabalho" defaultThemeVersion="124226"/>
  <bookViews>
    <workbookView xWindow="0" yWindow="0" windowWidth="17250" windowHeight="5640" tabRatio="997" activeTab="1"/>
  </bookViews>
  <sheets>
    <sheet name="INDICES " sheetId="50" r:id="rId1"/>
    <sheet name="COMPOSIÇÃO TOTAL" sheetId="116" r:id="rId2"/>
    <sheet name="ORIGEM DE PREÇOS" sheetId="117" r:id="rId3"/>
  </sheets>
  <externalReferences>
    <externalReference r:id="rId4"/>
  </externalReferences>
  <definedNames>
    <definedName name="_xlnm.Print_Area" localSheetId="1">'COMPOSIÇÃO TOTAL'!$A$1:$L$397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G293" i="116" l="1"/>
  <c r="G277" i="116"/>
  <c r="D163" i="116" l="1"/>
  <c r="D162" i="116"/>
  <c r="D161" i="116"/>
  <c r="D160" i="116"/>
  <c r="D159" i="116"/>
  <c r="D158" i="116"/>
  <c r="D156" i="116"/>
  <c r="D155" i="116"/>
  <c r="D154" i="116"/>
  <c r="D345" i="116"/>
  <c r="G105" i="116"/>
  <c r="G101" i="116"/>
  <c r="G107" i="116" l="1"/>
  <c r="C71" i="116"/>
  <c r="L147" i="116"/>
  <c r="I15" i="116" l="1"/>
  <c r="F341" i="116" l="1"/>
  <c r="G251" i="116" s="1"/>
  <c r="L129" i="116"/>
  <c r="E95" i="116"/>
  <c r="E93" i="116"/>
  <c r="E89" i="116"/>
  <c r="G11" i="116" l="1"/>
  <c r="H115" i="116" l="1"/>
  <c r="L215" i="116" l="1"/>
  <c r="G89" i="116" l="1"/>
  <c r="D346" i="116"/>
  <c r="G367" i="116" l="1"/>
  <c r="L354" i="116"/>
  <c r="E283" i="116" l="1"/>
  <c r="I163" i="116"/>
  <c r="I162" i="116"/>
  <c r="I161" i="116"/>
  <c r="F160" i="116"/>
  <c r="G160" i="116" s="1"/>
  <c r="I159" i="116"/>
  <c r="I158" i="116"/>
  <c r="F156" i="116"/>
  <c r="G156" i="116" s="1"/>
  <c r="I155" i="116"/>
  <c r="I154" i="116"/>
  <c r="D197" i="116"/>
  <c r="I197" i="116" s="1"/>
  <c r="J197" i="116" s="1"/>
  <c r="L197" i="116" s="1"/>
  <c r="D196" i="116"/>
  <c r="F196" i="116" s="1"/>
  <c r="D195" i="116"/>
  <c r="I195" i="116" s="1"/>
  <c r="J195" i="116" s="1"/>
  <c r="L195" i="116" s="1"/>
  <c r="D194" i="116"/>
  <c r="F194" i="116" s="1"/>
  <c r="D193" i="116"/>
  <c r="I193" i="116" s="1"/>
  <c r="J193" i="116" s="1"/>
  <c r="L193" i="116" s="1"/>
  <c r="D192" i="116"/>
  <c r="F192" i="116" s="1"/>
  <c r="D191" i="116"/>
  <c r="I191" i="116" s="1"/>
  <c r="J191" i="116" s="1"/>
  <c r="L191" i="116" s="1"/>
  <c r="D190" i="116"/>
  <c r="F190" i="116" s="1"/>
  <c r="D189" i="116"/>
  <c r="I189" i="116" s="1"/>
  <c r="J189" i="116" s="1"/>
  <c r="L189" i="116" s="1"/>
  <c r="D188" i="116"/>
  <c r="F188" i="116" s="1"/>
  <c r="D187" i="116"/>
  <c r="I187" i="116" s="1"/>
  <c r="J187" i="116" s="1"/>
  <c r="L187" i="116" s="1"/>
  <c r="G127" i="116"/>
  <c r="G125" i="116"/>
  <c r="G93" i="116"/>
  <c r="G95" i="116" s="1"/>
  <c r="J158" i="116" l="1"/>
  <c r="L158" i="116" s="1"/>
  <c r="J161" i="116"/>
  <c r="L161" i="116" s="1"/>
  <c r="J162" i="116"/>
  <c r="L162" i="116" s="1"/>
  <c r="J154" i="116"/>
  <c r="L154" i="116" s="1"/>
  <c r="J163" i="116"/>
  <c r="L163" i="116" s="1"/>
  <c r="J159" i="116"/>
  <c r="L159" i="116" s="1"/>
  <c r="J155" i="116"/>
  <c r="L155" i="116" s="1"/>
  <c r="I156" i="116"/>
  <c r="F159" i="116"/>
  <c r="G159" i="116" s="1"/>
  <c r="I190" i="116"/>
  <c r="J190" i="116" s="1"/>
  <c r="L190" i="116" s="1"/>
  <c r="I194" i="116"/>
  <c r="J194" i="116" s="1"/>
  <c r="L194" i="116" s="1"/>
  <c r="I160" i="116"/>
  <c r="F163" i="116"/>
  <c r="G163" i="116" s="1"/>
  <c r="I188" i="116"/>
  <c r="J188" i="116" s="1"/>
  <c r="L188" i="116" s="1"/>
  <c r="I196" i="116"/>
  <c r="J196" i="116" s="1"/>
  <c r="L196" i="116" s="1"/>
  <c r="I192" i="116"/>
  <c r="J192" i="116" s="1"/>
  <c r="L192" i="116" s="1"/>
  <c r="F187" i="116"/>
  <c r="F191" i="116"/>
  <c r="F195" i="116"/>
  <c r="F189" i="116"/>
  <c r="F193" i="116"/>
  <c r="F197" i="116"/>
  <c r="F155" i="116"/>
  <c r="G155" i="116" s="1"/>
  <c r="F154" i="116"/>
  <c r="G154" i="116" s="1"/>
  <c r="F158" i="116"/>
  <c r="G158" i="116" s="1"/>
  <c r="F162" i="116"/>
  <c r="G162" i="116" s="1"/>
  <c r="F161" i="116"/>
  <c r="G161" i="116" s="1"/>
  <c r="L63" i="116"/>
  <c r="G15" i="116"/>
  <c r="L15" i="116" s="1"/>
  <c r="J156" i="116" l="1"/>
  <c r="L156" i="116" s="1"/>
  <c r="J160" i="116"/>
  <c r="L160" i="116" s="1"/>
  <c r="G21" i="116"/>
  <c r="L346" i="116" l="1"/>
  <c r="L362" i="116"/>
  <c r="E341" i="116"/>
  <c r="G250" i="116" s="1"/>
  <c r="D341" i="116"/>
  <c r="L340" i="116"/>
  <c r="L339" i="116"/>
  <c r="G372" i="116" s="1"/>
  <c r="L301" i="116"/>
  <c r="L297" i="116"/>
  <c r="L289" i="116"/>
  <c r="E232" i="116"/>
  <c r="C232" i="116"/>
  <c r="D231" i="116"/>
  <c r="I231" i="116" s="1"/>
  <c r="D230" i="116"/>
  <c r="D229" i="116"/>
  <c r="I229" i="116" s="1"/>
  <c r="D224" i="116"/>
  <c r="I224" i="116" s="1"/>
  <c r="E198" i="116"/>
  <c r="C198" i="116"/>
  <c r="L181" i="116"/>
  <c r="E164" i="116"/>
  <c r="C164" i="116"/>
  <c r="H117" i="116"/>
  <c r="L107" i="116"/>
  <c r="L105" i="116"/>
  <c r="L103" i="116"/>
  <c r="L101" i="116"/>
  <c r="L95" i="116"/>
  <c r="L93" i="116"/>
  <c r="E91" i="116"/>
  <c r="L91" i="116" s="1"/>
  <c r="L89" i="116"/>
  <c r="L57" i="116"/>
  <c r="L55" i="116"/>
  <c r="L53" i="116"/>
  <c r="L51" i="116"/>
  <c r="L45" i="116"/>
  <c r="L43" i="116"/>
  <c r="L41" i="116"/>
  <c r="L39" i="116"/>
  <c r="L33" i="116"/>
  <c r="L31" i="116"/>
  <c r="L29" i="116"/>
  <c r="L27" i="116"/>
  <c r="L21" i="116"/>
  <c r="L77" i="116" s="1"/>
  <c r="L13" i="116"/>
  <c r="D153" i="116" l="1"/>
  <c r="D157" i="116"/>
  <c r="I153" i="116"/>
  <c r="F153" i="116"/>
  <c r="G153" i="116" s="1"/>
  <c r="D221" i="116"/>
  <c r="I221" i="116" s="1"/>
  <c r="D164" i="116"/>
  <c r="D225" i="116"/>
  <c r="F225" i="116" s="1"/>
  <c r="G225" i="116" s="1"/>
  <c r="G377" i="116"/>
  <c r="H101" i="116"/>
  <c r="H105" i="116"/>
  <c r="G190" i="116"/>
  <c r="G194" i="116"/>
  <c r="G196" i="116"/>
  <c r="G188" i="116"/>
  <c r="G192" i="116"/>
  <c r="G195" i="116"/>
  <c r="G197" i="116"/>
  <c r="G193" i="116"/>
  <c r="G191" i="116"/>
  <c r="G187" i="116"/>
  <c r="G189" i="116"/>
  <c r="D222" i="116"/>
  <c r="I222" i="116" s="1"/>
  <c r="J222" i="116" s="1"/>
  <c r="L222" i="116" s="1"/>
  <c r="F230" i="116"/>
  <c r="G230" i="116" s="1"/>
  <c r="I230" i="116"/>
  <c r="J230" i="116" s="1"/>
  <c r="L230" i="116" s="1"/>
  <c r="H89" i="116"/>
  <c r="H93" i="116"/>
  <c r="D228" i="116"/>
  <c r="D227" i="116"/>
  <c r="I227" i="116" s="1"/>
  <c r="J227" i="116" s="1"/>
  <c r="L227" i="116" s="1"/>
  <c r="D226" i="116"/>
  <c r="F224" i="116"/>
  <c r="G224" i="116" s="1"/>
  <c r="D223" i="116"/>
  <c r="F229" i="116"/>
  <c r="G229" i="116" s="1"/>
  <c r="F231" i="116"/>
  <c r="G231" i="116" s="1"/>
  <c r="L35" i="116"/>
  <c r="J231" i="116"/>
  <c r="L231" i="116" s="1"/>
  <c r="L59" i="116"/>
  <c r="F221" i="116"/>
  <c r="G221" i="116" s="1"/>
  <c r="L47" i="116"/>
  <c r="L109" i="116"/>
  <c r="J224" i="116"/>
  <c r="L224" i="116" s="1"/>
  <c r="J229" i="116"/>
  <c r="L229" i="116" s="1"/>
  <c r="L341" i="116"/>
  <c r="L355" i="116"/>
  <c r="D198" i="116"/>
  <c r="L11" i="116"/>
  <c r="L97" i="116"/>
  <c r="F115" i="116" s="1"/>
  <c r="L115" i="116" s="1"/>
  <c r="H119" i="116"/>
  <c r="D347" i="116" s="1"/>
  <c r="G249" i="116"/>
  <c r="J221" i="116" l="1"/>
  <c r="L221" i="116" s="1"/>
  <c r="J153" i="116"/>
  <c r="L153" i="116" s="1"/>
  <c r="F117" i="116"/>
  <c r="L117" i="116" s="1"/>
  <c r="L119" i="116" s="1"/>
  <c r="L293" i="116"/>
  <c r="L303" i="116" s="1"/>
  <c r="L318" i="116" s="1"/>
  <c r="N318" i="116" s="1"/>
  <c r="I225" i="116"/>
  <c r="J225" i="116" s="1"/>
  <c r="L225" i="116" s="1"/>
  <c r="I157" i="116"/>
  <c r="F157" i="116"/>
  <c r="F222" i="116"/>
  <c r="G222" i="116" s="1"/>
  <c r="F227" i="116"/>
  <c r="G227" i="116" s="1"/>
  <c r="F228" i="116"/>
  <c r="G228" i="116" s="1"/>
  <c r="J228" i="116"/>
  <c r="L228" i="116" s="1"/>
  <c r="F223" i="116"/>
  <c r="G223" i="116" s="1"/>
  <c r="I223" i="116"/>
  <c r="J223" i="116" s="1"/>
  <c r="L223" i="116" s="1"/>
  <c r="F226" i="116"/>
  <c r="G226" i="116" s="1"/>
  <c r="I226" i="116"/>
  <c r="J226" i="116" s="1"/>
  <c r="L226" i="116" s="1"/>
  <c r="H125" i="116"/>
  <c r="H127" i="116"/>
  <c r="D232" i="116"/>
  <c r="L347" i="116"/>
  <c r="I71" i="116"/>
  <c r="G198" i="116"/>
  <c r="F198" i="116"/>
  <c r="L198" i="116"/>
  <c r="G253" i="116"/>
  <c r="L61" i="116" s="1"/>
  <c r="L332" i="116" l="1"/>
  <c r="N332" i="116" s="1"/>
  <c r="G157" i="116"/>
  <c r="G164" i="116" s="1"/>
  <c r="J157" i="116"/>
  <c r="L157" i="116" s="1"/>
  <c r="L164" i="116" s="1"/>
  <c r="L121" i="116"/>
  <c r="I127" i="116" s="1"/>
  <c r="L127" i="116" s="1"/>
  <c r="F164" i="116"/>
  <c r="L17" i="116"/>
  <c r="L75" i="116" s="1"/>
  <c r="F71" i="116"/>
  <c r="L65" i="116"/>
  <c r="L79" i="116" s="1"/>
  <c r="G232" i="116"/>
  <c r="F232" i="116"/>
  <c r="L232" i="116"/>
  <c r="I277" i="116"/>
  <c r="L314" i="116" s="1"/>
  <c r="G283" i="116"/>
  <c r="I283" i="116" s="1"/>
  <c r="L316" i="116" s="1"/>
  <c r="G269" i="116"/>
  <c r="I269" i="116" s="1"/>
  <c r="G263" i="116"/>
  <c r="I263" i="116" s="1"/>
  <c r="L211" i="116"/>
  <c r="D250" i="116" s="1"/>
  <c r="L250" i="116" s="1"/>
  <c r="L177" i="116" l="1"/>
  <c r="D249" i="116" s="1"/>
  <c r="L249" i="116" s="1"/>
  <c r="I125" i="116"/>
  <c r="L125" i="116" s="1"/>
  <c r="L131" i="116" s="1"/>
  <c r="L308" i="116" s="1"/>
  <c r="N308" i="116" s="1"/>
  <c r="N121" i="116"/>
  <c r="N233" i="116"/>
  <c r="L330" i="116"/>
  <c r="N330" i="116" s="1"/>
  <c r="N316" i="116"/>
  <c r="L328" i="116"/>
  <c r="N328" i="116" s="1"/>
  <c r="N314" i="116"/>
  <c r="L245" i="116"/>
  <c r="D251" i="116" s="1"/>
  <c r="L251" i="116" s="1"/>
  <c r="I271" i="116"/>
  <c r="L312" i="116" s="1"/>
  <c r="L71" i="116"/>
  <c r="L81" i="116" s="1"/>
  <c r="L83" i="116" s="1"/>
  <c r="L253" i="116" l="1"/>
  <c r="C367" i="116"/>
  <c r="L367" i="116" s="1"/>
  <c r="L326" i="116"/>
  <c r="N326" i="116" s="1"/>
  <c r="N312" i="116"/>
  <c r="L255" i="116"/>
  <c r="L310" i="116" s="1"/>
  <c r="L324" i="116" l="1"/>
  <c r="N310" i="116"/>
  <c r="L320" i="116"/>
  <c r="L334" i="116" l="1"/>
  <c r="N324" i="116"/>
  <c r="C372" i="116"/>
  <c r="L372" i="116" s="1"/>
  <c r="N320" i="116"/>
  <c r="L345" i="116"/>
  <c r="L344" i="116"/>
  <c r="C377" i="116" l="1"/>
  <c r="L377" i="116" s="1"/>
  <c r="L380" i="116" s="1"/>
  <c r="N334" i="116"/>
  <c r="L388" i="116" l="1"/>
  <c r="L390" i="116" s="1"/>
  <c r="L393" i="116" s="1"/>
  <c r="L396" i="116" s="1"/>
  <c r="N380" i="116"/>
  <c r="N390" i="116" l="1"/>
  <c r="O390" i="116" s="1"/>
</calcChain>
</file>

<file path=xl/sharedStrings.xml><?xml version="1.0" encoding="utf-8"?>
<sst xmlns="http://schemas.openxmlformats.org/spreadsheetml/2006/main" count="843" uniqueCount="328">
  <si>
    <t>Total</t>
  </si>
  <si>
    <t>Salários</t>
  </si>
  <si>
    <t>Taxa Anual</t>
  </si>
  <si>
    <t>Quilometragem Mensal</t>
  </si>
  <si>
    <t>ISS</t>
  </si>
  <si>
    <t>Custo Variável</t>
  </si>
  <si>
    <t>1.1</t>
  </si>
  <si>
    <t>Preço</t>
  </si>
  <si>
    <t>R$/l</t>
  </si>
  <si>
    <t>1.2</t>
  </si>
  <si>
    <t>1.3</t>
  </si>
  <si>
    <t>Recapagens</t>
  </si>
  <si>
    <t>Câmaras</t>
  </si>
  <si>
    <t>Protetores</t>
  </si>
  <si>
    <t>1.4</t>
  </si>
  <si>
    <t>PMM</t>
  </si>
  <si>
    <t>2.1</t>
  </si>
  <si>
    <t>Despesas com Pessoal</t>
  </si>
  <si>
    <t>2.2</t>
  </si>
  <si>
    <t>Depreciação e Remuneração do Capital de Veículos</t>
  </si>
  <si>
    <t>Vida Útil</t>
  </si>
  <si>
    <t>anos</t>
  </si>
  <si>
    <t>Valor Residual</t>
  </si>
  <si>
    <t>ao final da vida útil</t>
  </si>
  <si>
    <t>ao ano</t>
  </si>
  <si>
    <t>Taxa</t>
  </si>
  <si>
    <t>Depreciação</t>
  </si>
  <si>
    <t>Coef.</t>
  </si>
  <si>
    <t>Remuneração</t>
  </si>
  <si>
    <t>Faixa de Idade</t>
  </si>
  <si>
    <t>Participação</t>
  </si>
  <si>
    <t>R$/veíc./mês</t>
  </si>
  <si>
    <t>3.1 - Custo Variável</t>
  </si>
  <si>
    <t>x</t>
  </si>
  <si>
    <t>=</t>
  </si>
  <si>
    <t>3.2 - Custo Fixo Operacional</t>
  </si>
  <si>
    <t>3.3 - Custo da Frota Reserva</t>
  </si>
  <si>
    <t>Quantidade</t>
  </si>
  <si>
    <t>Coef. / Frota</t>
  </si>
  <si>
    <t>Total                 R$/veíc. Mês</t>
  </si>
  <si>
    <t>Demanda Mensal</t>
  </si>
  <si>
    <t>Índice de Passageiros por Quilômetro</t>
  </si>
  <si>
    <t>IPKe</t>
  </si>
  <si>
    <t>Frota</t>
  </si>
  <si>
    <t>Encargo Social</t>
  </si>
  <si>
    <t>(l/km) x</t>
  </si>
  <si>
    <t>/</t>
  </si>
  <si>
    <t>1 x 6 x</t>
  </si>
  <si>
    <t>1.1.1</t>
  </si>
  <si>
    <t>1.1.2</t>
  </si>
  <si>
    <t>1.1.3</t>
  </si>
  <si>
    <t>(2.2.1)</t>
  </si>
  <si>
    <t>INSS</t>
  </si>
  <si>
    <t xml:space="preserve"> </t>
  </si>
  <si>
    <t>(2.2.2)</t>
  </si>
  <si>
    <t>(2.2.3)</t>
  </si>
  <si>
    <t>1.1.4</t>
  </si>
  <si>
    <t>2.3 - Remuneração do Capital aplicado em amoxarifado e instalações</t>
  </si>
  <si>
    <t>2.3.1 - Remuneração do Capital aplicado em almoxarifado</t>
  </si>
  <si>
    <t>2.3.2 - Remuneração do Capital aplicado em instalações e equipamentos</t>
  </si>
  <si>
    <t>2.4 - Depreciação de máquinas, instalações e equipamentos</t>
  </si>
  <si>
    <t>PIS</t>
  </si>
  <si>
    <t>COFINS</t>
  </si>
  <si>
    <t>Combustivel Óleo Diesel</t>
  </si>
  <si>
    <t>Microônibus</t>
  </si>
  <si>
    <t>Miniônibus</t>
  </si>
  <si>
    <t>Ônibus Básico</t>
  </si>
  <si>
    <t>Coef. Consumo</t>
  </si>
  <si>
    <t>Valor (R$ / km)</t>
  </si>
  <si>
    <t>Preço óleo diesel</t>
  </si>
  <si>
    <t xml:space="preserve">Rodagem </t>
  </si>
  <si>
    <t>1.3.1 - Minicroônibus</t>
  </si>
  <si>
    <t>Valor (R$)</t>
  </si>
  <si>
    <t>2 x 6 x</t>
  </si>
  <si>
    <t>Total Microônibus</t>
  </si>
  <si>
    <t>1.3.2 - Miniônibus</t>
  </si>
  <si>
    <t>Total Miniônibus</t>
  </si>
  <si>
    <t>1.3.5 - Vida Útil (km)</t>
  </si>
  <si>
    <t>1.3.6 - R$ / km relativos a Rodagem (1.3.4 / 1.3.5)</t>
  </si>
  <si>
    <t>Peças e Acessórios</t>
  </si>
  <si>
    <t xml:space="preserve"> /</t>
  </si>
  <si>
    <t>1.5</t>
  </si>
  <si>
    <t>Distribuição dos Custos Variáveis</t>
  </si>
  <si>
    <t>1.5.1</t>
  </si>
  <si>
    <t>Óleo Diesel (1.1.4)</t>
  </si>
  <si>
    <t>1.5.2</t>
  </si>
  <si>
    <t>Lubrificantes (1.2.7)</t>
  </si>
  <si>
    <t>1.5.3</t>
  </si>
  <si>
    <t>Rodagem (1.3.6)</t>
  </si>
  <si>
    <t>1.5.4</t>
  </si>
  <si>
    <t>Peças e Acessórios (1.4)</t>
  </si>
  <si>
    <t>Total (1.5.1 + 1.5.2 + 1.5.3 + 1.5.4)</t>
  </si>
  <si>
    <t>Total Ônibus Básicos</t>
  </si>
  <si>
    <t>R$ / Veic / Mês</t>
  </si>
  <si>
    <t xml:space="preserve">     Motoristas Ônibus Básico e Mini</t>
  </si>
  <si>
    <t xml:space="preserve">     Cobradores</t>
  </si>
  <si>
    <t xml:space="preserve">     Fiscais</t>
  </si>
  <si>
    <t xml:space="preserve">     Sub Total 1  (2.1.1)</t>
  </si>
  <si>
    <t xml:space="preserve">     Benefícios</t>
  </si>
  <si>
    <t xml:space="preserve">     Motoristas Micro</t>
  </si>
  <si>
    <t>FU (Micro)</t>
  </si>
  <si>
    <t>FU (Ônibus Básico e Mini)</t>
  </si>
  <si>
    <t xml:space="preserve">     Sub Total 2  (2.1.2)</t>
  </si>
  <si>
    <t>Cálculo do Vr.Ponderado</t>
  </si>
  <si>
    <t>Tipo de Veículo</t>
  </si>
  <si>
    <t>Custo com Pessoal</t>
  </si>
  <si>
    <t xml:space="preserve">     Ônibus Básico + Mini</t>
  </si>
  <si>
    <t xml:space="preserve"> =</t>
  </si>
  <si>
    <t>R$ / Mês</t>
  </si>
  <si>
    <t xml:space="preserve">     Micro</t>
  </si>
  <si>
    <t xml:space="preserve"> (2.1.1)   x</t>
  </si>
  <si>
    <t xml:space="preserve"> (2.1.2)   x</t>
  </si>
  <si>
    <t xml:space="preserve"> (2.1.3)</t>
  </si>
  <si>
    <t xml:space="preserve"> (2.1.5)</t>
  </si>
  <si>
    <t>Coeficiente</t>
  </si>
  <si>
    <t>Custo de Pessoal</t>
  </si>
  <si>
    <t xml:space="preserve">     Pessoal Administrativo (2.1.6)</t>
  </si>
  <si>
    <t xml:space="preserve">     Pessoal de Manutenção (2.1.7)</t>
  </si>
  <si>
    <t xml:space="preserve">     Pró-labore da Diretoria (2.1.8)</t>
  </si>
  <si>
    <t>Total (2.1.5 + 2.1.6 + 2.1.7 + 2.1.8)</t>
  </si>
  <si>
    <t xml:space="preserve"> (2.1.9)</t>
  </si>
  <si>
    <t>Total (2.1.1 + 2.1.2)</t>
  </si>
  <si>
    <t>Micoônibus</t>
  </si>
  <si>
    <t>Preço Veículo Novo com pneus</t>
  </si>
  <si>
    <t>Preço Veículo Novo sem pneus</t>
  </si>
  <si>
    <t xml:space="preserve"> 1 - 2</t>
  </si>
  <si>
    <t xml:space="preserve">  0 - 1 </t>
  </si>
  <si>
    <t xml:space="preserve"> 2 - 3</t>
  </si>
  <si>
    <t xml:space="preserve"> 3 - 4</t>
  </si>
  <si>
    <t xml:space="preserve"> 4 - 5</t>
  </si>
  <si>
    <t xml:space="preserve"> 5 - 6</t>
  </si>
  <si>
    <t xml:space="preserve"> 6 - 7</t>
  </si>
  <si>
    <t xml:space="preserve"> 7 - 8</t>
  </si>
  <si>
    <t xml:space="preserve"> 8 - 9</t>
  </si>
  <si>
    <t xml:space="preserve"> 9 - 10</t>
  </si>
  <si>
    <t xml:space="preserve"> 10 - +</t>
  </si>
  <si>
    <t>2 = Total da coluna 1</t>
  </si>
  <si>
    <t>3 = 1 / 2</t>
  </si>
  <si>
    <t>5 = 3 x 4</t>
  </si>
  <si>
    <t>6 = (5 x Preço do veículo novo sem pneu) / 12</t>
  </si>
  <si>
    <t>8 = 7 x 3</t>
  </si>
  <si>
    <t>9 = 8 x Preço do veículo novo com pneus, câmaras e protetores</t>
  </si>
  <si>
    <t>11 = Total da coluna 6</t>
  </si>
  <si>
    <t>12 = Total da coluna 10</t>
  </si>
  <si>
    <t>10 = 9 x Taxa de Remuneração Mensal = 9 x ((1 + Tx anual)0,0833 - 1)</t>
  </si>
  <si>
    <t>Custo de Depreciação e Remuneração de Microônibus (11 + 12)</t>
  </si>
  <si>
    <t>Custo de Depreciação e Remuneração de Miniônibus (11 + 12)</t>
  </si>
  <si>
    <t>Custo de Depreciação e Remuneração de Ônibus Básico (11 + 12)</t>
  </si>
  <si>
    <t>2.2.4 - Depreciação e Remuneração de Veículos</t>
  </si>
  <si>
    <t>(2.2.5)</t>
  </si>
  <si>
    <t>(1.3.1)</t>
  </si>
  <si>
    <t>(1.3.2)</t>
  </si>
  <si>
    <t>(1.3.3)</t>
  </si>
  <si>
    <t>2.3.3 - Total (2.3.1 + 2.3.2)</t>
  </si>
  <si>
    <t>2.5 - Despesas Administrativas Diversas</t>
  </si>
  <si>
    <t>2.6 - Seguros e IPVA</t>
  </si>
  <si>
    <t>2.6.1. Despesas com Seguro Obrigatório</t>
  </si>
  <si>
    <t>R$ / Veic. / Mês</t>
  </si>
  <si>
    <t>R$ / Veic. / Ano</t>
  </si>
  <si>
    <t>Seguro Obrigatório</t>
  </si>
  <si>
    <t>Meses</t>
  </si>
  <si>
    <t>2.6.2. Despesas com IPVA</t>
  </si>
  <si>
    <t>Despesa com IPVA</t>
  </si>
  <si>
    <t>2.6.3. Despesas com Seguro de Responsabilidade Civil</t>
  </si>
  <si>
    <t>Seguro Responsabilidade Civil</t>
  </si>
  <si>
    <t>2.6.4. Despesas com Licenciamento</t>
  </si>
  <si>
    <t>Licenciamento</t>
  </si>
  <si>
    <t>2.6.5. Total (2.6.1 + 2.6.2 + 2.6.3 + 2.6.4)</t>
  </si>
  <si>
    <t>2.7 - Custos Fixos Operacionais - (CFo)</t>
  </si>
  <si>
    <t>2.7.3 - Remuneração de Almoxarifado e Instalações (2.3.3)</t>
  </si>
  <si>
    <t>2.7.1 - Pessoal (2.1.9)</t>
  </si>
  <si>
    <t>2.7.2 - Depreciação e Remuneração do Capital aplicado em Veículos (2.2.7)</t>
  </si>
  <si>
    <t>2.7.4 - Depreciação de Máquinas, instalações e Equipamentos (2.4)</t>
  </si>
  <si>
    <t>2.7.5 - Despesas Administrativas Diversas (2.5)</t>
  </si>
  <si>
    <t>2.7.6 - Despesas com Seguros e IPVA (2.6.5)</t>
  </si>
  <si>
    <t>2.7.7 - Total (2.7.1 + 2.7.2 + 2.7.3 + 2.7.4 + 2.7.5 + 2.7.6)</t>
  </si>
  <si>
    <t>2.8 - Total dos Custos Fixos da Frota Reserva Técnica</t>
  </si>
  <si>
    <t>2.8.1 - Depreciação e Remuneração do Capital aplicado em veículos (2.2.7)</t>
  </si>
  <si>
    <t>2.8.2 - Remuneração de Almoxarifado e Instalações (2.3.3)</t>
  </si>
  <si>
    <t>2.8.3 - Depreciação de Máquinas, Instalações e Equipamentos (2.4)</t>
  </si>
  <si>
    <t>2.8.4 - Despesas Administrativas Diversas (2.5)</t>
  </si>
  <si>
    <t>2.8.5 - Despesas com Seguros e IPVA (2.6.5)</t>
  </si>
  <si>
    <t>2.8.6 - Total (2.8.1 + 2.8.2 + 2.8.3 + 2.8.4 + 2.8.5)</t>
  </si>
  <si>
    <t>Operacional</t>
  </si>
  <si>
    <t>Reserva</t>
  </si>
  <si>
    <t>Ociosa</t>
  </si>
  <si>
    <t>Passageiro Total</t>
  </si>
  <si>
    <t>Passageiro Econômico</t>
  </si>
  <si>
    <t>IPK</t>
  </si>
  <si>
    <t>Impostos / Taxas / Pró-Labore</t>
  </si>
  <si>
    <t>Total de Impostos e Taxas</t>
  </si>
  <si>
    <t>Total de Impostos</t>
  </si>
  <si>
    <t>(R$ / Km)</t>
  </si>
  <si>
    <t>km Mensal Total</t>
  </si>
  <si>
    <t>(1.5.5)                                  x</t>
  </si>
  <si>
    <t>1.5.5</t>
  </si>
  <si>
    <t>(R$/Veic./Mês)</t>
  </si>
  <si>
    <t xml:space="preserve">(2.7.7)                               </t>
  </si>
  <si>
    <t>Frota Operacional Total</t>
  </si>
  <si>
    <t>Custo Fixo da Frota Oper.</t>
  </si>
  <si>
    <t>Frota Reserva Total</t>
  </si>
  <si>
    <t>(2.8.6)                                  x</t>
  </si>
  <si>
    <t>Custo Fixo da reserva Técnica</t>
  </si>
  <si>
    <t>3.4 - Bilhetagem</t>
  </si>
  <si>
    <t>% de Bilhetagem</t>
  </si>
  <si>
    <t>1 = Quantidade de veículos Microônibus</t>
  </si>
  <si>
    <t>1 = Quantidade de veículos Miniônibus</t>
  </si>
  <si>
    <t>1 = Quantidade de veículos Ônibus Básico</t>
  </si>
  <si>
    <t>(1.2.7)</t>
  </si>
  <si>
    <t>(2.1.4)</t>
  </si>
  <si>
    <t>(2.1.5)</t>
  </si>
  <si>
    <t>Lubrificantes - (c/Frete)</t>
  </si>
  <si>
    <r>
      <rPr>
        <u/>
        <sz val="10"/>
        <rFont val="Arial"/>
        <family val="2"/>
      </rPr>
      <t>Ponderado</t>
    </r>
    <r>
      <rPr>
        <sz val="10"/>
        <rFont val="Arial"/>
        <family val="2"/>
      </rPr>
      <t xml:space="preserve"> (pela Frota)</t>
    </r>
  </si>
  <si>
    <r>
      <t xml:space="preserve">1.3.4 - Custo Total com Rodagem </t>
    </r>
    <r>
      <rPr>
        <u/>
        <sz val="10"/>
        <rFont val="Arial"/>
        <family val="2"/>
      </rPr>
      <t>Ponderado</t>
    </r>
    <r>
      <rPr>
        <sz val="10"/>
        <rFont val="Arial"/>
        <family val="2"/>
      </rPr>
      <t xml:space="preserve"> pela Frota - (Média Ponderada: 1.3.1 + 1.3.2 + 1.3.3) / (Frota Total)</t>
    </r>
  </si>
  <si>
    <r>
      <t xml:space="preserve">     Custo de Pessoal (2.1.4 / 2.1.3) </t>
    </r>
    <r>
      <rPr>
        <u/>
        <sz val="10"/>
        <rFont val="Arial"/>
        <family val="2"/>
      </rPr>
      <t>Ponderado</t>
    </r>
  </si>
  <si>
    <r>
      <t xml:space="preserve">Total </t>
    </r>
    <r>
      <rPr>
        <u/>
        <sz val="10"/>
        <rFont val="Arial"/>
        <family val="2"/>
      </rPr>
      <t>Ponderado</t>
    </r>
    <r>
      <rPr>
        <sz val="10"/>
        <rFont val="Arial"/>
        <family val="2"/>
      </rPr>
      <t xml:space="preserve"> (2.2.6 / 2.2.5)</t>
    </r>
  </si>
  <si>
    <t>(2.2.6)</t>
  </si>
  <si>
    <t>(2.2.7)</t>
  </si>
  <si>
    <t>(2.3.1)</t>
  </si>
  <si>
    <t>(2.3.3)</t>
  </si>
  <si>
    <t>(2.4)</t>
  </si>
  <si>
    <t>(2.5)</t>
  </si>
  <si>
    <t>(2.6.5)</t>
  </si>
  <si>
    <t>(1.5.5)</t>
  </si>
  <si>
    <t>(2.7.7)</t>
  </si>
  <si>
    <t>(2.8.6)</t>
  </si>
  <si>
    <t xml:space="preserve">(3.1+3.2+3.3) </t>
  </si>
  <si>
    <t>(3.1)</t>
  </si>
  <si>
    <t>(3.2)</t>
  </si>
  <si>
    <t>(3.3)</t>
  </si>
  <si>
    <t>(3.4)</t>
  </si>
  <si>
    <t>(3.5)</t>
  </si>
  <si>
    <t>(3.6)</t>
  </si>
  <si>
    <t>por mês</t>
  </si>
  <si>
    <t>Passageiros Equivalentes:</t>
  </si>
  <si>
    <t>PASSAGEIROS EQUIVALENTE</t>
  </si>
  <si>
    <t>CUSTOS VARIÁVEIS:</t>
  </si>
  <si>
    <t>CUSTOS FIXOS:</t>
  </si>
  <si>
    <t>CUSTOS TOTAIS :</t>
  </si>
  <si>
    <t>Passageiros Total:</t>
  </si>
  <si>
    <t>SUPERIOR</t>
  </si>
  <si>
    <t>INFERIOR</t>
  </si>
  <si>
    <t>LUBRIFICANTES:</t>
  </si>
  <si>
    <t>OLEO DIESEL:</t>
  </si>
  <si>
    <t>PNEU:</t>
  </si>
  <si>
    <t>PEÇAS E ACESSÓRIOS:</t>
  </si>
  <si>
    <t>MÃO-DE-OBRA:</t>
  </si>
  <si>
    <t>FISCAL</t>
  </si>
  <si>
    <t>ADMINISTRATIVO</t>
  </si>
  <si>
    <t>MANUTENÇÃO</t>
  </si>
  <si>
    <t>ADOTADO</t>
  </si>
  <si>
    <t>BENEFÍCIOS - (Básico)</t>
  </si>
  <si>
    <t>BENEFÍCIOS - (Micro/Mini)</t>
  </si>
  <si>
    <t>MODELO DIAGONAL</t>
  </si>
  <si>
    <t>MODELO RADIAL</t>
  </si>
  <si>
    <t>RECAPAGEM (Qtde prevista):</t>
  </si>
  <si>
    <t>DESPESAS GERAIS</t>
  </si>
  <si>
    <t>Despesas Gerais</t>
  </si>
  <si>
    <t>Preço Médio Ponderado Veículo Novo sem rodagem</t>
  </si>
  <si>
    <t>Frota Operacional</t>
  </si>
  <si>
    <t>Frota Total</t>
  </si>
  <si>
    <r>
      <t xml:space="preserve">Preço do veículo novo - </t>
    </r>
    <r>
      <rPr>
        <u/>
        <sz val="10"/>
        <rFont val="Arial"/>
        <family val="2"/>
      </rPr>
      <t>Ponderado</t>
    </r>
  </si>
  <si>
    <t>3.9 - Custo Total com Impostos: 3.8 X (1/(1-Total de Impostos))</t>
  </si>
  <si>
    <t>(Res.4770</t>
  </si>
  <si>
    <t>ANTT)</t>
  </si>
  <si>
    <t>Coef./Veíc.</t>
  </si>
  <si>
    <t xml:space="preserve"> + Frete</t>
  </si>
  <si>
    <t>3.7 - Total Receitas com Publicidades e Propagandas</t>
  </si>
  <si>
    <t>(3.7)</t>
  </si>
  <si>
    <t>3.8 - Custo Total sem Impostos: (3.1 + 3.2 + 3.3 + 3.4 + 3.5 - 3.6 - 3.7)</t>
  </si>
  <si>
    <r>
      <t xml:space="preserve">2.2.2 - Depreciação e Remuneração de Ônibus Miniônibus - </t>
    </r>
    <r>
      <rPr>
        <b/>
        <sz val="10"/>
        <rFont val="Arial"/>
        <family val="2"/>
      </rPr>
      <t>MODELO LO-916/48</t>
    </r>
  </si>
  <si>
    <t>Pneus - (Radial 215/75)</t>
  </si>
  <si>
    <t>Pneus - (Radial 275/80)</t>
  </si>
  <si>
    <t>LEVE</t>
  </si>
  <si>
    <t>PESADO</t>
  </si>
  <si>
    <t>ESPECIAL</t>
  </si>
  <si>
    <t>MOTORISTA</t>
  </si>
  <si>
    <t>COBRADOR</t>
  </si>
  <si>
    <t>QTDE</t>
  </si>
  <si>
    <t>PADRÕES DE COEFICIENTES E INDÍCES</t>
  </si>
  <si>
    <r>
      <t xml:space="preserve">Cp = </t>
    </r>
    <r>
      <rPr>
        <u/>
        <sz val="10"/>
        <rFont val="Arial"/>
        <family val="2"/>
      </rPr>
      <t>CUSTO TOTAL  COM IMPOSTOS - DEDUÇÕES (3.8)</t>
    </r>
  </si>
  <si>
    <t>CUSTO MÉDIO/PASSAGEIRO:</t>
  </si>
  <si>
    <t>VALOR TARIFA RURAL ====&gt;</t>
  </si>
  <si>
    <t>VALOR TARIFA URBANA ====&gt;</t>
  </si>
  <si>
    <t>PREFEITURA MUNICIPAL DE SANTA RITA DO SAPUCAI/MG</t>
  </si>
  <si>
    <t>PMM (PERCURSO MEDIO MENSAL)</t>
  </si>
  <si>
    <t>GERAL</t>
  </si>
  <si>
    <t>ISENTO POR LEI FEDERAL</t>
  </si>
  <si>
    <t>PLANILHA ESTIMADA DE CUSTOS</t>
  </si>
  <si>
    <t>MEDIA ANUAL 2022</t>
  </si>
  <si>
    <r>
      <t xml:space="preserve">2.2.3 - Depreciação e Remuneração de Ônibus Básico - </t>
    </r>
    <r>
      <rPr>
        <b/>
        <sz val="10"/>
        <rFont val="Arial"/>
        <family val="2"/>
      </rPr>
      <t>MODELO OF-1619/52</t>
    </r>
  </si>
  <si>
    <t>1.3.3 - Ônibus Básicos</t>
  </si>
  <si>
    <r>
      <t xml:space="preserve">2.2.1 - Depreciação e Remuneração de Microônibus - </t>
    </r>
    <r>
      <rPr>
        <b/>
        <sz val="10"/>
        <rFont val="Arial"/>
        <family val="2"/>
      </rPr>
      <t>MODELO LO-916/48</t>
    </r>
  </si>
  <si>
    <t xml:space="preserve">3.5 - Gasto c/Manutenção de Abrigos </t>
  </si>
  <si>
    <t>3.6 - Total Subsidio para Deficientes ou outras modalidades</t>
  </si>
  <si>
    <t>ORIGEM DE PREÇOS - PLANILHA ESTIMADA DE CUSTOS</t>
  </si>
  <si>
    <t>Considera-se o valor de R$4,90 por litro, com base em valor referencial informado pela PETROBRAS (ref. Minas Gerais, período de coleta de 02/07/2023 a 08/07/2023).</t>
  </si>
  <si>
    <t>Este custo é baseado no preço do combustível.</t>
  </si>
  <si>
    <t>Considera-se o valor unitário de R$2.477,51 para o pneu tipo radial 215/75 e R$529,00 a recapagem, vida útil 85.000 km.</t>
  </si>
  <si>
    <t>Este custo é ponderado pelo coeficiente 0,0033 baseado no valor do veículo novo, de R$641.449,96, com percurso médio mensal de 3.699 km.</t>
  </si>
  <si>
    <t>Todas as despesas com pessoal, como salários (incluindo encargos) e benefícios, para motoristas, fiscais e pessoal de manutenção e administrativo, seguem acordo sindical. Além disso, neste item, têm-se o pró-labore da diretoria.</t>
  </si>
  <si>
    <t>Os quantitativos estimados são de 3 microônibus e 6 ônibus básicos (1 reserva técnica).</t>
  </si>
  <si>
    <t>É considerado coeficiente básico e o valor do preço de veículo novo ponderado, em função dos quantitativos, tipos e preços dos veículos da frota.</t>
  </si>
  <si>
    <t>3.4 Bilhetagem</t>
  </si>
  <si>
    <t>3.5 Gasto c/Manutenção de Abrigos</t>
  </si>
  <si>
    <t>3.6 Total Subsidio para Deficientes ou outras modalidades</t>
  </si>
  <si>
    <t>Não há incidência na composição de custo estimada, devendo a gestão contratual deliberar e incidir durante a vigência contratual, se for o caso.</t>
  </si>
  <si>
    <t>3.7 Total Receitas com Publicidades e Propagandas</t>
  </si>
  <si>
    <t>1.      CUSTOS VARIÁVEIS</t>
  </si>
  <si>
    <t>1.1  Combustível Óleo Diesel</t>
  </si>
  <si>
    <t>1.2  Lubrificantes (c/frete)</t>
  </si>
  <si>
    <t>1.3  Rodagem</t>
  </si>
  <si>
    <t>1.3.1        Microônibus</t>
  </si>
  <si>
    <t>1.3.2        Ônibus básico</t>
  </si>
  <si>
    <t>1.4  Peças e Acessórios</t>
  </si>
  <si>
    <t>2.      CUSTOS FIXOS</t>
  </si>
  <si>
    <t>2.1  Despesas com pessoal</t>
  </si>
  <si>
    <t>2.2  Depreciação e Remuneração do Capital de Veículos</t>
  </si>
  <si>
    <t xml:space="preserve">São consideradas as idades de frota de 5 anos para início da concessão e média máxima de frota em 10 anos, valor residual de 20% ao final da vida útil, com custo de veículo novo a R$ 557.665,06 para micro-ônibus (MODELO LO-916/48) e R$ 705.640,00 para ônibus básico (MODELO OF-1619/52). </t>
  </si>
  <si>
    <t>2.3   Remuneração do Capital aplicado em amoxarifado e instalações</t>
  </si>
  <si>
    <t>2.4  Depreciação de máquinas, instalações e equipamentos</t>
  </si>
  <si>
    <t>2.5  Despesas Administrativas Diversas</t>
  </si>
  <si>
    <t>2.6  Seguros e IPVA</t>
  </si>
  <si>
    <t>Não há incidência deste custo por se tratar de serviço/custo destinado à contratante.</t>
  </si>
  <si>
    <t>Considera-se o valor unitário de R$2.477,51 para o pneu tipo radial 275/75 e R$529,00 a recapagem, vida útil 85.000 km.</t>
  </si>
  <si>
    <t>É Considerado 4% dos custos operacionais variáveis (item 3.1), fixos (item 3.2) e da frota reserva (item 3.3), totalizando R$12.720,04 por mês.</t>
  </si>
  <si>
    <t>Devido legislação vigente, não há incidência de seguro obrigatório para licenciamento de veículos. São considerados os valores de 1% do valor ponderado (entre micro e convencional) do veículo tipo ônibus para IPVA, R$33,16 para taxa de licenciamento do DETRAN-MG e R$1.561,50 para Seguro de Responsabilidade civil para cada veículo.</t>
  </si>
  <si>
    <t>Preço do veículo novo - Ponderado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</si>
</sst>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5">
    <numFmt numFmtId="44" formatCode="_-&quot;R$&quot;\ * #,##0.00_-;\-&quot;R$&quot;\ * #,##0.00_-;_-&quot;R$&quot;\ * &quot;-&quot;??_-;_-@_-"/>
    <numFmt numFmtId="164" formatCode="_(* #,##0.00_);_(* \(#,##0.00\);_(* &quot;-&quot;??_);_(@_)"/>
    <numFmt numFmtId="165" formatCode="_(&quot;R$&quot;* #,##0.00_);_(&quot;R$&quot;* \(#,##0.00\);_(&quot;R$&quot;* &quot;-&quot;??_);_(@_)"/>
    <numFmt numFmtId="166" formatCode="_(&quot;R$&quot;* #,##0.0000_);_(&quot;R$&quot;* \(#,##0.0000\);_(&quot;R$&quot;* &quot;-&quot;??_);_(@_)"/>
    <numFmt numFmtId="167" formatCode="0.0000"/>
    <numFmt numFmtId="168" formatCode="#,##0.0000"/>
    <numFmt numFmtId="169" formatCode="#,##0.000"/>
    <numFmt numFmtId="170" formatCode="_(* #,##0.000_);_(* \(#,##0.000\);_(* &quot;-&quot;???_);_(@_)"/>
    <numFmt numFmtId="171" formatCode="0.00000"/>
    <numFmt numFmtId="172" formatCode="0.000000"/>
    <numFmt numFmtId="173" formatCode="_-&quot;R$&quot;* #,##0.0000_-;\-&quot;R$&quot;* #,##0.0000_-;_-&quot;R$&quot;* &quot;-&quot;????_-;_-@_-"/>
    <numFmt numFmtId="174" formatCode="_-&quot;R$&quot;\ * #,##0.000_-;\-&quot;R$&quot;\ * #,##0.000_-;_-&quot;R$&quot;\ * &quot;-&quot;??_-;_-@_-"/>
    <numFmt numFmtId="175" formatCode="0.0%"/>
    <numFmt numFmtId="176" formatCode="0.0"/>
    <numFmt numFmtId="177" formatCode="_(&quot;R$&quot;* #,##0.00000_);_(&quot;R$&quot;* \(#,##0.00000\);_(&quot;R$&quot;* &quot;-&quot;??_);_(@_)"/>
  </numFmts>
  <fonts count="29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1"/>
      <color rgb="FF000000"/>
      <name val="Calibri"/>
      <family val="2"/>
      <scheme val="minor"/>
    </font>
    <font>
      <b/>
      <sz val="10"/>
      <color rgb="FFFF0000"/>
      <name val="Arial"/>
      <family val="2"/>
    </font>
    <font>
      <b/>
      <u/>
      <sz val="16"/>
      <name val="Arial"/>
      <family val="2"/>
    </font>
    <font>
      <u/>
      <sz val="10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b/>
      <u/>
      <sz val="12"/>
      <name val="Arial"/>
      <family val="2"/>
    </font>
    <font>
      <b/>
      <sz val="18"/>
      <name val="Arial"/>
      <family val="2"/>
    </font>
    <font>
      <b/>
      <u/>
      <sz val="10"/>
      <name val="Arial"/>
      <family val="2"/>
    </font>
    <font>
      <sz val="14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sz val="10"/>
      <color rgb="FFFF0000"/>
      <name val="Arial"/>
      <family val="2"/>
    </font>
    <font>
      <b/>
      <sz val="11"/>
      <color rgb="FFFF0000"/>
      <name val="Arial"/>
      <family val="2"/>
    </font>
    <font>
      <sz val="11"/>
      <color rgb="FFFF0000"/>
      <name val="Arial"/>
      <family val="2"/>
    </font>
    <font>
      <b/>
      <sz val="22"/>
      <name val="Arial"/>
      <family val="2"/>
    </font>
    <font>
      <sz val="10"/>
      <color theme="0"/>
      <name val="Arial"/>
      <family val="2"/>
    </font>
    <font>
      <b/>
      <sz val="12"/>
      <color theme="0"/>
      <name val="Arial"/>
      <family val="2"/>
    </font>
    <font>
      <b/>
      <sz val="10"/>
      <color theme="0"/>
      <name val="Arial"/>
      <family val="2"/>
    </font>
    <font>
      <b/>
      <sz val="10"/>
      <color rgb="FF00B0F0"/>
      <name val="Arial"/>
      <family val="2"/>
    </font>
    <font>
      <sz val="11"/>
      <color theme="0"/>
      <name val="Arial"/>
      <family val="2"/>
    </font>
    <font>
      <sz val="9"/>
      <color theme="0"/>
      <name val="Arial"/>
      <family val="2"/>
    </font>
    <font>
      <b/>
      <u/>
      <sz val="18"/>
      <name val="Arial"/>
      <family val="2"/>
    </font>
    <font>
      <u/>
      <sz val="10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4" fillId="0" borderId="0"/>
  </cellStyleXfs>
  <cellXfs count="220">
    <xf numFmtId="0" fontId="0" fillId="0" borderId="0" xfId="0"/>
    <xf numFmtId="0" fontId="1" fillId="0" borderId="0" xfId="0" applyFont="1"/>
    <xf numFmtId="0" fontId="0" fillId="2" borderId="0" xfId="0" applyFill="1"/>
    <xf numFmtId="0" fontId="3" fillId="2" borderId="0" xfId="0" applyFont="1" applyFill="1"/>
    <xf numFmtId="0" fontId="1" fillId="2" borderId="0" xfId="0" applyFont="1" applyFill="1"/>
    <xf numFmtId="166" fontId="1" fillId="2" borderId="1" xfId="1" applyNumberFormat="1" applyFont="1" applyFill="1" applyBorder="1"/>
    <xf numFmtId="167" fontId="1" fillId="0" borderId="0" xfId="0" applyNumberFormat="1" applyFont="1"/>
    <xf numFmtId="167" fontId="1" fillId="2" borderId="0" xfId="0" applyNumberFormat="1" applyFont="1" applyFill="1" applyAlignment="1">
      <alignment horizontal="center"/>
    </xf>
    <xf numFmtId="165" fontId="1" fillId="2" borderId="1" xfId="1" applyFont="1" applyFill="1" applyBorder="1"/>
    <xf numFmtId="165" fontId="1" fillId="2" borderId="0" xfId="0" applyNumberFormat="1" applyFont="1" applyFill="1"/>
    <xf numFmtId="165" fontId="1" fillId="2" borderId="0" xfId="0" applyNumberFormat="1" applyFont="1" applyFill="1" applyAlignment="1">
      <alignment horizontal="center"/>
    </xf>
    <xf numFmtId="0" fontId="1" fillId="2" borderId="0" xfId="0" applyFont="1" applyFill="1" applyAlignment="1">
      <alignment horizontal="left" indent="2"/>
    </xf>
    <xf numFmtId="165" fontId="1" fillId="2" borderId="0" xfId="1" applyFont="1" applyFill="1" applyBorder="1" applyAlignment="1">
      <alignment horizontal="center"/>
    </xf>
    <xf numFmtId="165" fontId="1" fillId="2" borderId="0" xfId="1" applyFont="1" applyFill="1" applyBorder="1"/>
    <xf numFmtId="0" fontId="1" fillId="2" borderId="0" xfId="0" applyFont="1" applyFill="1" applyAlignment="1">
      <alignment horizontal="left"/>
    </xf>
    <xf numFmtId="3" fontId="1" fillId="2" borderId="0" xfId="0" applyNumberFormat="1" applyFont="1" applyFill="1" applyAlignment="1">
      <alignment horizontal="left"/>
    </xf>
    <xf numFmtId="165" fontId="1" fillId="2" borderId="1" xfId="0" applyNumberFormat="1" applyFont="1" applyFill="1" applyBorder="1"/>
    <xf numFmtId="2" fontId="1" fillId="2" borderId="0" xfId="0" applyNumberFormat="1" applyFont="1" applyFill="1" applyAlignment="1">
      <alignment horizontal="center"/>
    </xf>
    <xf numFmtId="173" fontId="1" fillId="2" borderId="0" xfId="0" applyNumberFormat="1" applyFont="1" applyFill="1"/>
    <xf numFmtId="167" fontId="1" fillId="2" borderId="0" xfId="0" applyNumberFormat="1" applyFont="1" applyFill="1"/>
    <xf numFmtId="3" fontId="1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4" xfId="0" applyFont="1" applyFill="1" applyBorder="1" applyAlignment="1">
      <alignment horizontal="center"/>
    </xf>
    <xf numFmtId="3" fontId="1" fillId="2" borderId="4" xfId="0" applyNumberFormat="1" applyFont="1" applyFill="1" applyBorder="1" applyAlignment="1">
      <alignment horizontal="center"/>
    </xf>
    <xf numFmtId="3" fontId="1" fillId="2" borderId="1" xfId="0" applyNumberFormat="1" applyFont="1" applyFill="1" applyBorder="1" applyAlignment="1">
      <alignment horizontal="center"/>
    </xf>
    <xf numFmtId="16" fontId="1" fillId="2" borderId="0" xfId="0" applyNumberFormat="1" applyFont="1" applyFill="1" applyAlignment="1">
      <alignment horizontal="left"/>
    </xf>
    <xf numFmtId="2" fontId="1" fillId="2" borderId="0" xfId="0" applyNumberFormat="1" applyFont="1" applyFill="1" applyAlignment="1">
      <alignment horizontal="right"/>
    </xf>
    <xf numFmtId="3" fontId="1" fillId="2" borderId="5" xfId="0" applyNumberFormat="1" applyFont="1" applyFill="1" applyBorder="1" applyAlignment="1">
      <alignment horizontal="center"/>
    </xf>
    <xf numFmtId="0" fontId="1" fillId="2" borderId="11" xfId="0" applyFont="1" applyFill="1" applyBorder="1"/>
    <xf numFmtId="0" fontId="1" fillId="2" borderId="6" xfId="0" applyFont="1" applyFill="1" applyBorder="1"/>
    <xf numFmtId="0" fontId="1" fillId="2" borderId="9" xfId="0" applyFont="1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9" fontId="1" fillId="2" borderId="0" xfId="2" applyFont="1" applyFill="1"/>
    <xf numFmtId="166" fontId="1" fillId="2" borderId="0" xfId="0" applyNumberFormat="1" applyFont="1" applyFill="1"/>
    <xf numFmtId="0" fontId="1" fillId="2" borderId="0" xfId="0" quotePrefix="1" applyFont="1" applyFill="1" applyAlignment="1">
      <alignment horizontal="center"/>
    </xf>
    <xf numFmtId="0" fontId="1" fillId="2" borderId="0" xfId="0" quotePrefix="1" applyFont="1" applyFill="1" applyAlignment="1">
      <alignment horizontal="right"/>
    </xf>
    <xf numFmtId="0" fontId="8" fillId="2" borderId="0" xfId="0" applyFont="1" applyFill="1"/>
    <xf numFmtId="0" fontId="8" fillId="2" borderId="0" xfId="0" applyFont="1" applyFill="1" applyAlignment="1">
      <alignment horizontal="center"/>
    </xf>
    <xf numFmtId="166" fontId="8" fillId="2" borderId="0" xfId="0" applyNumberFormat="1" applyFont="1" applyFill="1"/>
    <xf numFmtId="173" fontId="8" fillId="2" borderId="0" xfId="0" applyNumberFormat="1" applyFont="1" applyFill="1"/>
    <xf numFmtId="2" fontId="8" fillId="2" borderId="0" xfId="0" applyNumberFormat="1" applyFont="1" applyFill="1" applyAlignment="1">
      <alignment horizontal="center"/>
    </xf>
    <xf numFmtId="0" fontId="8" fillId="2" borderId="0" xfId="0" applyFont="1" applyFill="1" applyAlignment="1">
      <alignment vertical="center"/>
    </xf>
    <xf numFmtId="0" fontId="9" fillId="2" borderId="0" xfId="0" applyFont="1" applyFill="1"/>
    <xf numFmtId="0" fontId="9" fillId="0" borderId="0" xfId="0" applyFont="1"/>
    <xf numFmtId="0" fontId="10" fillId="2" borderId="0" xfId="0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0" fontId="2" fillId="2" borderId="0" xfId="0" applyFont="1" applyFill="1"/>
    <xf numFmtId="0" fontId="0" fillId="2" borderId="1" xfId="0" applyFill="1" applyBorder="1" applyAlignment="1">
      <alignment horizontal="right"/>
    </xf>
    <xf numFmtId="167" fontId="1" fillId="2" borderId="1" xfId="0" applyNumberFormat="1" applyFont="1" applyFill="1" applyBorder="1" applyAlignment="1">
      <alignment horizontal="center"/>
    </xf>
    <xf numFmtId="0" fontId="0" fillId="2" borderId="1" xfId="0" applyFill="1" applyBorder="1"/>
    <xf numFmtId="167" fontId="0" fillId="2" borderId="1" xfId="0" applyNumberFormat="1" applyFill="1" applyBorder="1" applyAlignment="1">
      <alignment horizontal="center"/>
    </xf>
    <xf numFmtId="167" fontId="0" fillId="2" borderId="0" xfId="0" applyNumberFormat="1" applyFill="1"/>
    <xf numFmtId="0" fontId="12" fillId="2" borderId="1" xfId="0" applyFont="1" applyFill="1" applyBorder="1"/>
    <xf numFmtId="0" fontId="0" fillId="2" borderId="0" xfId="0" applyFill="1" applyAlignment="1">
      <alignment horizontal="right"/>
    </xf>
    <xf numFmtId="167" fontId="5" fillId="3" borderId="1" xfId="0" applyNumberFormat="1" applyFont="1" applyFill="1" applyBorder="1" applyAlignment="1">
      <alignment horizontal="center"/>
    </xf>
    <xf numFmtId="167" fontId="0" fillId="3" borderId="1" xfId="0" applyNumberFormat="1" applyFill="1" applyBorder="1" applyAlignment="1">
      <alignment horizontal="center"/>
    </xf>
    <xf numFmtId="3" fontId="1" fillId="2" borderId="0" xfId="0" applyNumberFormat="1" applyFont="1" applyFill="1" applyAlignment="1">
      <alignment horizontal="right"/>
    </xf>
    <xf numFmtId="0" fontId="9" fillId="2" borderId="0" xfId="0" applyFont="1" applyFill="1" applyAlignment="1">
      <alignment horizontal="center"/>
    </xf>
    <xf numFmtId="0" fontId="13" fillId="2" borderId="0" xfId="0" applyFont="1" applyFill="1"/>
    <xf numFmtId="165" fontId="1" fillId="2" borderId="11" xfId="1" applyFont="1" applyFill="1" applyBorder="1" applyAlignment="1"/>
    <xf numFmtId="37" fontId="14" fillId="2" borderId="1" xfId="0" applyNumberFormat="1" applyFont="1" applyFill="1" applyBorder="1" applyAlignment="1" applyProtection="1">
      <alignment horizontal="center"/>
      <protection locked="0"/>
    </xf>
    <xf numFmtId="167" fontId="14" fillId="2" borderId="0" xfId="0" applyNumberFormat="1" applyFont="1" applyFill="1"/>
    <xf numFmtId="0" fontId="1" fillId="2" borderId="5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168" fontId="1" fillId="2" borderId="4" xfId="0" applyNumberFormat="1" applyFont="1" applyFill="1" applyBorder="1" applyAlignment="1">
      <alignment horizontal="center"/>
    </xf>
    <xf numFmtId="167" fontId="1" fillId="2" borderId="4" xfId="0" applyNumberFormat="1" applyFont="1" applyFill="1" applyBorder="1" applyAlignment="1">
      <alignment horizontal="center"/>
    </xf>
    <xf numFmtId="166" fontId="1" fillId="2" borderId="4" xfId="1" applyNumberFormat="1" applyFont="1" applyFill="1" applyBorder="1" applyAlignment="1">
      <alignment horizontal="center"/>
    </xf>
    <xf numFmtId="167" fontId="1" fillId="2" borderId="12" xfId="0" applyNumberFormat="1" applyFont="1" applyFill="1" applyBorder="1" applyAlignment="1">
      <alignment horizontal="center"/>
    </xf>
    <xf numFmtId="166" fontId="1" fillId="2" borderId="4" xfId="0" applyNumberFormat="1" applyFont="1" applyFill="1" applyBorder="1"/>
    <xf numFmtId="16" fontId="1" fillId="2" borderId="4" xfId="0" applyNumberFormat="1" applyFont="1" applyFill="1" applyBorder="1" applyAlignment="1">
      <alignment horizontal="center"/>
    </xf>
    <xf numFmtId="167" fontId="1" fillId="2" borderId="2" xfId="0" applyNumberFormat="1" applyFont="1" applyFill="1" applyBorder="1" applyAlignment="1">
      <alignment horizontal="center"/>
    </xf>
    <xf numFmtId="168" fontId="1" fillId="2" borderId="1" xfId="0" applyNumberFormat="1" applyFont="1" applyFill="1" applyBorder="1" applyAlignment="1">
      <alignment horizontal="center"/>
    </xf>
    <xf numFmtId="166" fontId="1" fillId="2" borderId="1" xfId="0" applyNumberFormat="1" applyFont="1" applyFill="1" applyBorder="1"/>
    <xf numFmtId="3" fontId="1" fillId="2" borderId="10" xfId="0" applyNumberFormat="1" applyFont="1" applyFill="1" applyBorder="1" applyAlignment="1">
      <alignment horizontal="center"/>
    </xf>
    <xf numFmtId="169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75" fontId="2" fillId="2" borderId="0" xfId="0" applyNumberFormat="1" applyFont="1" applyFill="1" applyAlignment="1">
      <alignment horizontal="center"/>
    </xf>
    <xf numFmtId="165" fontId="2" fillId="2" borderId="1" xfId="0" applyNumberFormat="1" applyFont="1" applyFill="1" applyBorder="1"/>
    <xf numFmtId="167" fontId="15" fillId="0" borderId="0" xfId="0" applyNumberFormat="1" applyFont="1"/>
    <xf numFmtId="167" fontId="14" fillId="0" borderId="0" xfId="0" applyNumberFormat="1" applyFont="1"/>
    <xf numFmtId="0" fontId="1" fillId="2" borderId="0" xfId="0" applyFont="1" applyFill="1" applyAlignment="1">
      <alignment horizontal="right" indent="2"/>
    </xf>
    <xf numFmtId="9" fontId="16" fillId="2" borderId="0" xfId="2" applyFont="1" applyFill="1" applyAlignment="1">
      <alignment horizontal="center"/>
    </xf>
    <xf numFmtId="0" fontId="2" fillId="2" borderId="0" xfId="0" applyFont="1" applyFill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center"/>
    </xf>
    <xf numFmtId="3" fontId="1" fillId="2" borderId="5" xfId="0" applyNumberFormat="1" applyFont="1" applyFill="1" applyBorder="1" applyAlignment="1">
      <alignment horizontal="center" vertical="center"/>
    </xf>
    <xf numFmtId="0" fontId="17" fillId="2" borderId="0" xfId="0" applyFont="1" applyFill="1" applyAlignment="1">
      <alignment horizontal="center"/>
    </xf>
    <xf numFmtId="167" fontId="5" fillId="2" borderId="1" xfId="0" applyNumberFormat="1" applyFont="1" applyFill="1" applyBorder="1" applyAlignment="1">
      <alignment horizontal="center"/>
    </xf>
    <xf numFmtId="1" fontId="5" fillId="2" borderId="1" xfId="0" applyNumberFormat="1" applyFont="1" applyFill="1" applyBorder="1" applyAlignment="1">
      <alignment horizontal="center"/>
    </xf>
    <xf numFmtId="176" fontId="5" fillId="2" borderId="1" xfId="0" applyNumberFormat="1" applyFont="1" applyFill="1" applyBorder="1" applyAlignment="1">
      <alignment horizontal="center"/>
    </xf>
    <xf numFmtId="176" fontId="1" fillId="3" borderId="1" xfId="0" applyNumberFormat="1" applyFont="1" applyFill="1" applyBorder="1" applyAlignment="1">
      <alignment horizontal="center"/>
    </xf>
    <xf numFmtId="1" fontId="0" fillId="3" borderId="1" xfId="0" applyNumberFormat="1" applyFill="1" applyBorder="1" applyAlignment="1">
      <alignment horizontal="center"/>
    </xf>
    <xf numFmtId="167" fontId="18" fillId="3" borderId="1" xfId="0" applyNumberFormat="1" applyFont="1" applyFill="1" applyBorder="1" applyAlignment="1" applyProtection="1">
      <alignment horizontal="center"/>
      <protection locked="0"/>
    </xf>
    <xf numFmtId="37" fontId="18" fillId="3" borderId="1" xfId="0" applyNumberFormat="1" applyFont="1" applyFill="1" applyBorder="1" applyAlignment="1" applyProtection="1">
      <alignment horizontal="center"/>
      <protection locked="0"/>
    </xf>
    <xf numFmtId="167" fontId="19" fillId="0" borderId="0" xfId="0" applyNumberFormat="1" applyFont="1"/>
    <xf numFmtId="167" fontId="1" fillId="3" borderId="1" xfId="0" applyNumberFormat="1" applyFont="1" applyFill="1" applyBorder="1" applyAlignment="1">
      <alignment horizontal="center"/>
    </xf>
    <xf numFmtId="172" fontId="1" fillId="2" borderId="0" xfId="0" applyNumberFormat="1" applyFont="1" applyFill="1" applyAlignment="1">
      <alignment horizontal="center"/>
    </xf>
    <xf numFmtId="172" fontId="1" fillId="2" borderId="12" xfId="0" applyNumberFormat="1" applyFont="1" applyFill="1" applyBorder="1" applyAlignment="1">
      <alignment horizontal="center"/>
    </xf>
    <xf numFmtId="172" fontId="1" fillId="2" borderId="2" xfId="0" applyNumberFormat="1" applyFont="1" applyFill="1" applyBorder="1" applyAlignment="1">
      <alignment horizontal="center"/>
    </xf>
    <xf numFmtId="0" fontId="5" fillId="3" borderId="1" xfId="0" applyFont="1" applyFill="1" applyBorder="1" applyAlignment="1" applyProtection="1">
      <alignment horizontal="center"/>
      <protection locked="0"/>
    </xf>
    <xf numFmtId="167" fontId="5" fillId="3" borderId="1" xfId="0" applyNumberFormat="1" applyFont="1" applyFill="1" applyBorder="1" applyAlignment="1" applyProtection="1">
      <alignment horizontal="center"/>
      <protection locked="0"/>
    </xf>
    <xf numFmtId="0" fontId="16" fillId="2" borderId="0" xfId="0" applyFont="1" applyFill="1"/>
    <xf numFmtId="170" fontId="1" fillId="2" borderId="0" xfId="0" applyNumberFormat="1" applyFont="1" applyFill="1"/>
    <xf numFmtId="0" fontId="20" fillId="2" borderId="0" xfId="0" applyFont="1" applyFill="1" applyAlignment="1">
      <alignment horizontal="center"/>
    </xf>
    <xf numFmtId="0" fontId="17" fillId="2" borderId="0" xfId="0" applyFont="1" applyFill="1"/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1" fillId="2" borderId="4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right"/>
    </xf>
    <xf numFmtId="0" fontId="17" fillId="2" borderId="0" xfId="0" applyFont="1" applyFill="1" applyAlignment="1">
      <alignment horizontal="left"/>
    </xf>
    <xf numFmtId="10" fontId="5" fillId="3" borderId="1" xfId="0" applyNumberFormat="1" applyFont="1" applyFill="1" applyBorder="1" applyAlignment="1">
      <alignment horizontal="center"/>
    </xf>
    <xf numFmtId="9" fontId="5" fillId="3" borderId="1" xfId="2" applyFont="1" applyFill="1" applyBorder="1" applyAlignment="1" applyProtection="1">
      <alignment horizontal="center"/>
      <protection locked="0"/>
    </xf>
    <xf numFmtId="0" fontId="21" fillId="2" borderId="0" xfId="0" applyFont="1" applyFill="1"/>
    <xf numFmtId="0" fontId="22" fillId="2" borderId="0" xfId="0" applyFont="1" applyFill="1"/>
    <xf numFmtId="9" fontId="21" fillId="2" borderId="0" xfId="0" applyNumberFormat="1" applyFont="1" applyFill="1" applyAlignment="1">
      <alignment horizontal="center"/>
    </xf>
    <xf numFmtId="0" fontId="21" fillId="2" borderId="0" xfId="0" applyFont="1" applyFill="1" applyAlignment="1">
      <alignment horizontal="center"/>
    </xf>
    <xf numFmtId="9" fontId="21" fillId="2" borderId="0" xfId="0" applyNumberFormat="1" applyFont="1" applyFill="1"/>
    <xf numFmtId="164" fontId="21" fillId="2" borderId="0" xfId="3" applyFont="1" applyFill="1"/>
    <xf numFmtId="0" fontId="23" fillId="2" borderId="0" xfId="0" applyFont="1" applyFill="1"/>
    <xf numFmtId="165" fontId="21" fillId="2" borderId="0" xfId="0" applyNumberFormat="1" applyFont="1" applyFill="1"/>
    <xf numFmtId="0" fontId="24" fillId="2" borderId="0" xfId="0" applyFont="1" applyFill="1" applyAlignment="1">
      <alignment horizontal="center"/>
    </xf>
    <xf numFmtId="175" fontId="21" fillId="2" borderId="0" xfId="2" applyNumberFormat="1" applyFont="1" applyFill="1"/>
    <xf numFmtId="177" fontId="25" fillId="2" borderId="0" xfId="0" applyNumberFormat="1" applyFont="1" applyFill="1"/>
    <xf numFmtId="2" fontId="21" fillId="2" borderId="0" xfId="0" applyNumberFormat="1" applyFont="1" applyFill="1"/>
    <xf numFmtId="173" fontId="21" fillId="2" borderId="0" xfId="0" applyNumberFormat="1" applyFont="1" applyFill="1"/>
    <xf numFmtId="165" fontId="21" fillId="2" borderId="0" xfId="0" applyNumberFormat="1" applyFont="1" applyFill="1" applyAlignment="1">
      <alignment horizontal="center"/>
    </xf>
    <xf numFmtId="2" fontId="21" fillId="2" borderId="0" xfId="0" applyNumberFormat="1" applyFont="1" applyFill="1" applyAlignment="1">
      <alignment horizontal="center"/>
    </xf>
    <xf numFmtId="167" fontId="21" fillId="2" borderId="0" xfId="0" applyNumberFormat="1" applyFont="1" applyFill="1"/>
    <xf numFmtId="3" fontId="21" fillId="2" borderId="0" xfId="0" applyNumberFormat="1" applyFont="1" applyFill="1"/>
    <xf numFmtId="44" fontId="21" fillId="2" borderId="0" xfId="0" applyNumberFormat="1" applyFont="1" applyFill="1"/>
    <xf numFmtId="0" fontId="26" fillId="2" borderId="0" xfId="0" applyFont="1" applyFill="1" applyAlignment="1">
      <alignment vertical="center"/>
    </xf>
    <xf numFmtId="2" fontId="26" fillId="2" borderId="0" xfId="0" applyNumberFormat="1" applyFont="1" applyFill="1" applyAlignment="1">
      <alignment vertical="center"/>
    </xf>
    <xf numFmtId="176" fontId="24" fillId="2" borderId="0" xfId="0" applyNumberFormat="1" applyFont="1" applyFill="1" applyAlignment="1">
      <alignment horizontal="center"/>
    </xf>
    <xf numFmtId="0" fontId="24" fillId="2" borderId="0" xfId="0" applyFont="1" applyFill="1"/>
    <xf numFmtId="0" fontId="28" fillId="2" borderId="0" xfId="0" applyFont="1" applyFill="1" applyAlignment="1">
      <alignment horizontal="center"/>
    </xf>
    <xf numFmtId="167" fontId="28" fillId="2" borderId="0" xfId="0" applyNumberFormat="1" applyFont="1" applyFill="1" applyAlignment="1">
      <alignment horizontal="center"/>
    </xf>
    <xf numFmtId="167" fontId="21" fillId="2" borderId="0" xfId="0" applyNumberFormat="1" applyFont="1" applyFill="1" applyAlignment="1">
      <alignment horizontal="center"/>
    </xf>
    <xf numFmtId="166" fontId="25" fillId="2" borderId="0" xfId="0" applyNumberFormat="1" applyFont="1" applyFill="1"/>
    <xf numFmtId="171" fontId="21" fillId="2" borderId="0" xfId="0" applyNumberFormat="1" applyFont="1" applyFill="1" applyAlignment="1">
      <alignment horizontal="center"/>
    </xf>
    <xf numFmtId="171" fontId="21" fillId="2" borderId="0" xfId="0" applyNumberFormat="1" applyFont="1" applyFill="1"/>
    <xf numFmtId="172" fontId="21" fillId="2" borderId="0" xfId="0" applyNumberFormat="1" applyFont="1" applyFill="1"/>
    <xf numFmtId="10" fontId="21" fillId="2" borderId="0" xfId="0" applyNumberFormat="1" applyFont="1" applyFill="1"/>
    <xf numFmtId="0" fontId="8" fillId="4" borderId="0" xfId="0" applyFont="1" applyFill="1"/>
    <xf numFmtId="3" fontId="1" fillId="4" borderId="0" xfId="0" applyNumberFormat="1" applyFont="1" applyFill="1"/>
    <xf numFmtId="165" fontId="1" fillId="3" borderId="1" xfId="1" applyFont="1" applyFill="1" applyBorder="1"/>
    <xf numFmtId="166" fontId="1" fillId="3" borderId="1" xfId="1" applyNumberFormat="1" applyFont="1" applyFill="1" applyBorder="1"/>
    <xf numFmtId="165" fontId="1" fillId="3" borderId="1" xfId="0" applyNumberFormat="1" applyFont="1" applyFill="1" applyBorder="1"/>
    <xf numFmtId="167" fontId="14" fillId="2" borderId="1" xfId="0" applyNumberFormat="1" applyFont="1" applyFill="1" applyBorder="1" applyAlignment="1" applyProtection="1">
      <alignment horizontal="center"/>
      <protection locked="0"/>
    </xf>
    <xf numFmtId="2" fontId="1" fillId="2" borderId="0" xfId="0" applyNumberFormat="1" applyFont="1" applyFill="1"/>
    <xf numFmtId="165" fontId="5" fillId="3" borderId="1" xfId="1" applyFont="1" applyFill="1" applyBorder="1"/>
    <xf numFmtId="165" fontId="1" fillId="0" borderId="1" xfId="0" applyNumberFormat="1" applyFont="1" applyFill="1" applyBorder="1"/>
    <xf numFmtId="0" fontId="9" fillId="2" borderId="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8" fillId="0" borderId="0" xfId="0" applyFont="1" applyFill="1" applyAlignment="1">
      <alignment horizontal="center"/>
    </xf>
    <xf numFmtId="175" fontId="8" fillId="4" borderId="2" xfId="2" applyNumberFormat="1" applyFont="1" applyFill="1" applyBorder="1" applyAlignment="1">
      <alignment horizontal="left" vertical="center"/>
    </xf>
    <xf numFmtId="0" fontId="27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6" fillId="2" borderId="2" xfId="0" applyFont="1" applyFill="1" applyBorder="1" applyAlignment="1">
      <alignment horizontal="center" vertical="center"/>
    </xf>
    <xf numFmtId="170" fontId="1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right" vertical="center"/>
    </xf>
    <xf numFmtId="0" fontId="2" fillId="2" borderId="7" xfId="0" applyFont="1" applyFill="1" applyBorder="1" applyAlignment="1">
      <alignment horizontal="right" vertical="center"/>
    </xf>
    <xf numFmtId="0" fontId="1" fillId="2" borderId="11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3" fontId="1" fillId="2" borderId="10" xfId="0" applyNumberFormat="1" applyFont="1" applyFill="1" applyBorder="1" applyAlignment="1">
      <alignment horizontal="center" vertical="center"/>
    </xf>
    <xf numFmtId="3" fontId="1" fillId="2" borderId="4" xfId="0" applyNumberFormat="1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165" fontId="1" fillId="2" borderId="10" xfId="1" applyFont="1" applyFill="1" applyBorder="1" applyAlignment="1">
      <alignment horizontal="center"/>
    </xf>
    <xf numFmtId="165" fontId="1" fillId="2" borderId="4" xfId="1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20" fillId="2" borderId="0" xfId="0" applyFont="1" applyFill="1" applyAlignment="1">
      <alignment horizontal="center"/>
    </xf>
    <xf numFmtId="165" fontId="1" fillId="2" borderId="2" xfId="1" applyFont="1" applyFill="1" applyBorder="1" applyAlignment="1">
      <alignment horizontal="center"/>
    </xf>
    <xf numFmtId="165" fontId="1" fillId="2" borderId="7" xfId="1" applyFont="1" applyFill="1" applyBorder="1" applyAlignment="1">
      <alignment horizontal="center"/>
    </xf>
    <xf numFmtId="165" fontId="1" fillId="2" borderId="3" xfId="1" applyFont="1" applyFill="1" applyBorder="1" applyAlignment="1">
      <alignment horizontal="center"/>
    </xf>
    <xf numFmtId="165" fontId="1" fillId="2" borderId="8" xfId="1" applyFont="1" applyFill="1" applyBorder="1" applyAlignment="1">
      <alignment horizontal="center"/>
    </xf>
    <xf numFmtId="165" fontId="1" fillId="2" borderId="10" xfId="0" applyNumberFormat="1" applyFont="1" applyFill="1" applyBorder="1" applyAlignment="1">
      <alignment horizontal="center" vertical="center"/>
    </xf>
    <xf numFmtId="165" fontId="1" fillId="2" borderId="4" xfId="0" applyNumberFormat="1" applyFont="1" applyFill="1" applyBorder="1" applyAlignment="1">
      <alignment horizontal="center" vertical="center"/>
    </xf>
    <xf numFmtId="165" fontId="1" fillId="2" borderId="12" xfId="0" applyNumberFormat="1" applyFont="1" applyFill="1" applyBorder="1" applyAlignment="1">
      <alignment horizontal="center" vertical="center"/>
    </xf>
    <xf numFmtId="165" fontId="1" fillId="2" borderId="14" xfId="0" applyNumberFormat="1" applyFont="1" applyFill="1" applyBorder="1" applyAlignment="1">
      <alignment horizontal="center" vertical="center"/>
    </xf>
    <xf numFmtId="165" fontId="1" fillId="2" borderId="2" xfId="0" applyNumberFormat="1" applyFont="1" applyFill="1" applyBorder="1" applyAlignment="1">
      <alignment horizontal="center" vertical="center"/>
    </xf>
    <xf numFmtId="165" fontId="1" fillId="2" borderId="7" xfId="0" applyNumberFormat="1" applyFont="1" applyFill="1" applyBorder="1" applyAlignment="1">
      <alignment horizontal="center" vertical="center"/>
    </xf>
    <xf numFmtId="0" fontId="28" fillId="2" borderId="0" xfId="0" applyFont="1" applyFill="1" applyAlignment="1">
      <alignment horizontal="center"/>
    </xf>
    <xf numFmtId="0" fontId="21" fillId="2" borderId="0" xfId="0" applyFont="1" applyFill="1" applyAlignment="1">
      <alignment horizontal="center"/>
    </xf>
    <xf numFmtId="173" fontId="21" fillId="2" borderId="0" xfId="0" applyNumberFormat="1" applyFont="1" applyFill="1" applyAlignment="1">
      <alignment horizontal="center"/>
    </xf>
    <xf numFmtId="175" fontId="21" fillId="2" borderId="0" xfId="2" applyNumberFormat="1" applyFont="1" applyFill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7" xfId="0" applyFont="1" applyFill="1" applyBorder="1" applyAlignment="1">
      <alignment horizontal="center"/>
    </xf>
    <xf numFmtId="165" fontId="1" fillId="2" borderId="5" xfId="1" applyFont="1" applyFill="1" applyBorder="1" applyAlignment="1">
      <alignment horizontal="center"/>
    </xf>
    <xf numFmtId="0" fontId="1" fillId="0" borderId="0" xfId="0" applyFont="1" applyAlignment="1">
      <alignment horizontal="right"/>
    </xf>
    <xf numFmtId="0" fontId="2" fillId="2" borderId="11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174" fontId="2" fillId="2" borderId="10" xfId="0" applyNumberFormat="1" applyFont="1" applyFill="1" applyBorder="1" applyAlignment="1">
      <alignment vertical="center"/>
    </xf>
    <xf numFmtId="174" fontId="2" fillId="2" borderId="5" xfId="0" applyNumberFormat="1" applyFont="1" applyFill="1" applyBorder="1" applyAlignment="1">
      <alignment vertical="center"/>
    </xf>
    <xf numFmtId="0" fontId="1" fillId="2" borderId="11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right"/>
    </xf>
    <xf numFmtId="0" fontId="1" fillId="2" borderId="9" xfId="0" applyFont="1" applyFill="1" applyBorder="1" applyAlignment="1">
      <alignment horizontal="right"/>
    </xf>
    <xf numFmtId="0" fontId="1" fillId="2" borderId="0" xfId="0" applyFont="1" applyFill="1" applyAlignment="1">
      <alignment horizontal="right"/>
    </xf>
    <xf numFmtId="0" fontId="2" fillId="2" borderId="11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right"/>
    </xf>
    <xf numFmtId="0" fontId="0" fillId="0" borderId="0" xfId="0" applyAlignment="1">
      <alignment wrapText="1"/>
    </xf>
    <xf numFmtId="0" fontId="0" fillId="0" borderId="0" xfId="0" applyAlignment="1">
      <alignment horizontal="justify" wrapText="1"/>
    </xf>
    <xf numFmtId="0" fontId="2" fillId="0" borderId="0" xfId="0" applyFont="1" applyAlignment="1">
      <alignment horizontal="justify" wrapText="1"/>
    </xf>
  </cellXfs>
  <cellStyles count="5">
    <cellStyle name="Moeda" xfId="1" builtinId="4"/>
    <cellStyle name="Normal" xfId="0" builtinId="0"/>
    <cellStyle name="Normal 2" xfId="4"/>
    <cellStyle name="Porcentagem" xfId="2" builtinId="5"/>
    <cellStyle name="Vírgula" xfId="3" builtinId="3"/>
  </cellStyles>
  <dxfs count="0"/>
  <tableStyles count="0" defaultTableStyle="TableStyleMedium9" defaultPivotStyle="PivotStyleLight16"/>
  <colors>
    <mruColors>
      <color rgb="FFEEE90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marildo.fernandes/Desktop/COLETIVOS%20-%20ABF/GEIPOT/PLANILHA%20GEIPOT%20-%20MATRIZ%20CORRETA%20-%20(23.07.2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DE ENTRADA"/>
      <sheetName val="CÁLCULO"/>
    </sheetNames>
    <sheetDataSet>
      <sheetData sheetId="0" refreshError="1">
        <row r="20">
          <cell r="D20">
            <v>0</v>
          </cell>
        </row>
        <row r="56">
          <cell r="D56">
            <v>0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zoomScale="120" zoomScaleNormal="120" workbookViewId="0">
      <selection activeCell="B24" sqref="B24"/>
    </sheetView>
  </sheetViews>
  <sheetFormatPr defaultColWidth="9.140625" defaultRowHeight="12.75" x14ac:dyDescent="0.2"/>
  <cols>
    <col min="1" max="1" width="29.85546875" style="2" customWidth="1"/>
    <col min="2" max="4" width="10.7109375" style="2" customWidth="1"/>
    <col min="5" max="16384" width="9.140625" style="2"/>
  </cols>
  <sheetData>
    <row r="1" spans="1:5" ht="20.25" x14ac:dyDescent="0.3">
      <c r="A1" s="153" t="s">
        <v>279</v>
      </c>
      <c r="B1" s="153"/>
      <c r="C1" s="153"/>
      <c r="D1" s="153"/>
    </row>
    <row r="3" spans="1:5" s="48" customFormat="1" ht="15.75" x14ac:dyDescent="0.25">
      <c r="A3" s="152" t="s">
        <v>243</v>
      </c>
      <c r="B3" s="152"/>
      <c r="C3" s="152"/>
      <c r="D3" s="152"/>
    </row>
    <row r="4" spans="1:5" s="21" customFormat="1" x14ac:dyDescent="0.2">
      <c r="A4" s="85"/>
      <c r="B4" s="85" t="s">
        <v>241</v>
      </c>
      <c r="C4" s="85" t="s">
        <v>240</v>
      </c>
      <c r="D4" s="85" t="s">
        <v>250</v>
      </c>
    </row>
    <row r="5" spans="1:5" x14ac:dyDescent="0.2">
      <c r="A5" s="47" t="s">
        <v>273</v>
      </c>
      <c r="B5" s="57">
        <v>0.35</v>
      </c>
      <c r="C5" s="57">
        <v>0.39</v>
      </c>
      <c r="D5" s="88">
        <v>0.35</v>
      </c>
      <c r="E5" s="2" t="s">
        <v>53</v>
      </c>
    </row>
    <row r="6" spans="1:5" x14ac:dyDescent="0.2">
      <c r="A6" s="47" t="s">
        <v>274</v>
      </c>
      <c r="B6" s="57">
        <v>0.45</v>
      </c>
      <c r="C6" s="57">
        <v>0.5</v>
      </c>
      <c r="D6" s="88"/>
    </row>
    <row r="7" spans="1:5" x14ac:dyDescent="0.2">
      <c r="A7" s="47" t="s">
        <v>275</v>
      </c>
      <c r="B7" s="57">
        <v>0.53</v>
      </c>
      <c r="C7" s="57">
        <v>0.65</v>
      </c>
      <c r="D7" s="88"/>
    </row>
    <row r="8" spans="1:5" x14ac:dyDescent="0.2">
      <c r="B8" s="53"/>
      <c r="C8" s="53"/>
      <c r="D8" s="53"/>
    </row>
    <row r="9" spans="1:5" ht="15.75" x14ac:dyDescent="0.25">
      <c r="A9" s="152" t="s">
        <v>242</v>
      </c>
      <c r="B9" s="152"/>
      <c r="C9" s="152"/>
      <c r="D9" s="152"/>
    </row>
    <row r="10" spans="1:5" x14ac:dyDescent="0.2">
      <c r="A10" s="54"/>
      <c r="B10" s="85" t="s">
        <v>241</v>
      </c>
      <c r="C10" s="85" t="s">
        <v>240</v>
      </c>
      <c r="D10" s="85" t="s">
        <v>250</v>
      </c>
    </row>
    <row r="11" spans="1:5" x14ac:dyDescent="0.2">
      <c r="A11" s="46" t="s">
        <v>53</v>
      </c>
      <c r="B11" s="57">
        <v>0.04</v>
      </c>
      <c r="C11" s="57">
        <v>0.06</v>
      </c>
      <c r="D11" s="88">
        <v>0.04</v>
      </c>
    </row>
    <row r="12" spans="1:5" x14ac:dyDescent="0.2">
      <c r="B12" s="53"/>
      <c r="C12" s="53"/>
    </row>
    <row r="13" spans="1:5" ht="15.75" x14ac:dyDescent="0.25">
      <c r="A13" s="152" t="s">
        <v>244</v>
      </c>
      <c r="B13" s="152"/>
      <c r="C13" s="152"/>
      <c r="D13" s="152"/>
    </row>
    <row r="14" spans="1:5" x14ac:dyDescent="0.2">
      <c r="A14" s="54"/>
      <c r="B14" s="85" t="s">
        <v>241</v>
      </c>
      <c r="C14" s="85" t="s">
        <v>240</v>
      </c>
      <c r="D14" s="85" t="s">
        <v>250</v>
      </c>
    </row>
    <row r="15" spans="1:5" x14ac:dyDescent="0.2">
      <c r="A15" s="47" t="s">
        <v>253</v>
      </c>
      <c r="B15" s="92">
        <v>70000</v>
      </c>
      <c r="C15" s="92">
        <v>92000</v>
      </c>
      <c r="D15" s="89" t="s">
        <v>53</v>
      </c>
    </row>
    <row r="16" spans="1:5" x14ac:dyDescent="0.2">
      <c r="A16" s="47" t="s">
        <v>254</v>
      </c>
      <c r="B16" s="92">
        <v>85000</v>
      </c>
      <c r="C16" s="92">
        <v>125000</v>
      </c>
      <c r="D16" s="89">
        <v>85000</v>
      </c>
    </row>
    <row r="17" spans="1:4" x14ac:dyDescent="0.2">
      <c r="B17" s="53"/>
      <c r="C17" s="53"/>
    </row>
    <row r="18" spans="1:4" ht="15.75" x14ac:dyDescent="0.25">
      <c r="A18" s="152" t="s">
        <v>255</v>
      </c>
      <c r="B18" s="152"/>
      <c r="C18" s="152"/>
      <c r="D18" s="152"/>
    </row>
    <row r="19" spans="1:4" x14ac:dyDescent="0.2">
      <c r="A19" s="47" t="s">
        <v>53</v>
      </c>
      <c r="B19" s="85" t="s">
        <v>241</v>
      </c>
      <c r="C19" s="85" t="s">
        <v>240</v>
      </c>
      <c r="D19" s="85" t="s">
        <v>250</v>
      </c>
    </row>
    <row r="20" spans="1:4" x14ac:dyDescent="0.2">
      <c r="A20" s="47" t="s">
        <v>253</v>
      </c>
      <c r="B20" s="91">
        <v>2.5</v>
      </c>
      <c r="C20" s="91">
        <v>3.5</v>
      </c>
      <c r="D20" s="51"/>
    </row>
    <row r="21" spans="1:4" x14ac:dyDescent="0.2">
      <c r="A21" s="47" t="s">
        <v>254</v>
      </c>
      <c r="B21" s="91">
        <v>2</v>
      </c>
      <c r="C21" s="91">
        <v>3</v>
      </c>
      <c r="D21" s="90">
        <v>2</v>
      </c>
    </row>
    <row r="22" spans="1:4" x14ac:dyDescent="0.2">
      <c r="B22" s="53"/>
      <c r="C22" s="53"/>
    </row>
    <row r="23" spans="1:4" ht="15.75" x14ac:dyDescent="0.25">
      <c r="A23" s="152" t="s">
        <v>245</v>
      </c>
      <c r="B23" s="152"/>
      <c r="C23" s="152"/>
      <c r="D23" s="152"/>
    </row>
    <row r="24" spans="1:4" x14ac:dyDescent="0.2">
      <c r="A24" s="54"/>
      <c r="B24" s="85" t="s">
        <v>241</v>
      </c>
      <c r="C24" s="85" t="s">
        <v>240</v>
      </c>
      <c r="D24" s="85" t="s">
        <v>250</v>
      </c>
    </row>
    <row r="25" spans="1:4" x14ac:dyDescent="0.2">
      <c r="A25" s="46" t="s">
        <v>53</v>
      </c>
      <c r="B25" s="57">
        <v>3.3E-3</v>
      </c>
      <c r="C25" s="57">
        <v>8.3000000000000001E-3</v>
      </c>
      <c r="D25" s="88">
        <v>3.3E-3</v>
      </c>
    </row>
    <row r="26" spans="1:4" x14ac:dyDescent="0.2">
      <c r="B26" s="53"/>
      <c r="C26" s="53"/>
    </row>
    <row r="27" spans="1:4" ht="15.75" x14ac:dyDescent="0.25">
      <c r="A27" s="152" t="s">
        <v>246</v>
      </c>
      <c r="B27" s="152"/>
      <c r="C27" s="152"/>
      <c r="D27" s="152"/>
    </row>
    <row r="28" spans="1:4" x14ac:dyDescent="0.2">
      <c r="A28" s="54"/>
      <c r="B28" s="85" t="s">
        <v>241</v>
      </c>
      <c r="C28" s="85" t="s">
        <v>240</v>
      </c>
      <c r="D28" s="85" t="s">
        <v>250</v>
      </c>
    </row>
    <row r="29" spans="1:4" x14ac:dyDescent="0.2">
      <c r="A29" s="47" t="s">
        <v>276</v>
      </c>
      <c r="B29" s="57">
        <v>2.2000000000000002</v>
      </c>
      <c r="C29" s="57">
        <v>2.8</v>
      </c>
      <c r="D29" s="88">
        <v>2.2000000000000002</v>
      </c>
    </row>
    <row r="30" spans="1:4" x14ac:dyDescent="0.2">
      <c r="A30" s="47" t="s">
        <v>277</v>
      </c>
      <c r="B30" s="57">
        <v>2.2000000000000002</v>
      </c>
      <c r="C30" s="57">
        <v>2.8</v>
      </c>
      <c r="D30" s="88">
        <v>2.2000000000000002</v>
      </c>
    </row>
    <row r="31" spans="1:4" x14ac:dyDescent="0.2">
      <c r="A31" s="49" t="s">
        <v>247</v>
      </c>
      <c r="B31" s="57">
        <v>0.2</v>
      </c>
      <c r="C31" s="57">
        <v>0.5</v>
      </c>
      <c r="D31" s="88">
        <v>0.2</v>
      </c>
    </row>
    <row r="32" spans="1:4" x14ac:dyDescent="0.2">
      <c r="A32" s="47" t="s">
        <v>251</v>
      </c>
      <c r="B32" s="52"/>
      <c r="C32" s="52"/>
      <c r="D32" s="88"/>
    </row>
    <row r="33" spans="1:4" x14ac:dyDescent="0.2">
      <c r="A33" s="47" t="s">
        <v>252</v>
      </c>
      <c r="B33" s="52"/>
      <c r="C33" s="52"/>
      <c r="D33" s="88"/>
    </row>
    <row r="34" spans="1:4" x14ac:dyDescent="0.2">
      <c r="A34" s="49" t="s">
        <v>248</v>
      </c>
      <c r="B34" s="57">
        <v>0.08</v>
      </c>
      <c r="C34" s="57">
        <v>0.13</v>
      </c>
      <c r="D34" s="88">
        <v>0.08</v>
      </c>
    </row>
    <row r="35" spans="1:4" x14ac:dyDescent="0.2">
      <c r="A35" s="49" t="s">
        <v>249</v>
      </c>
      <c r="B35" s="57">
        <v>0.12</v>
      </c>
      <c r="C35" s="57">
        <v>0.15</v>
      </c>
      <c r="D35" s="88">
        <v>0.12</v>
      </c>
    </row>
    <row r="36" spans="1:4" x14ac:dyDescent="0.2">
      <c r="A36" s="55"/>
    </row>
    <row r="37" spans="1:4" ht="15.75" x14ac:dyDescent="0.25">
      <c r="A37" s="152" t="s">
        <v>256</v>
      </c>
      <c r="B37" s="152"/>
      <c r="C37" s="152"/>
      <c r="D37" s="152"/>
    </row>
    <row r="38" spans="1:4" x14ac:dyDescent="0.2">
      <c r="A38" s="54"/>
      <c r="B38" s="85" t="s">
        <v>241</v>
      </c>
      <c r="C38" s="85" t="s">
        <v>240</v>
      </c>
      <c r="D38" s="85" t="s">
        <v>250</v>
      </c>
    </row>
    <row r="39" spans="1:4" x14ac:dyDescent="0.2">
      <c r="A39" s="47" t="s">
        <v>257</v>
      </c>
      <c r="B39" s="57">
        <v>1.6999999999999999E-3</v>
      </c>
      <c r="C39" s="57">
        <v>3.3E-3</v>
      </c>
      <c r="D39" s="88">
        <v>1.6999999999999999E-3</v>
      </c>
    </row>
  </sheetData>
  <mergeCells count="8">
    <mergeCell ref="A37:D37"/>
    <mergeCell ref="A23:D23"/>
    <mergeCell ref="A27:D27"/>
    <mergeCell ref="A1:D1"/>
    <mergeCell ref="A3:D3"/>
    <mergeCell ref="A9:D9"/>
    <mergeCell ref="A13:D13"/>
    <mergeCell ref="A18:D18"/>
  </mergeCells>
  <pageMargins left="1" right="1" top="1" bottom="1" header="0.5" footer="0.5"/>
  <pageSetup paperSize="9" scale="9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BD466"/>
  <sheetViews>
    <sheetView tabSelected="1" topLeftCell="A352" zoomScale="80" zoomScaleNormal="80" workbookViewId="0">
      <selection activeCell="M283" sqref="M283"/>
    </sheetView>
  </sheetViews>
  <sheetFormatPr defaultColWidth="9.140625" defaultRowHeight="14.1" customHeight="1" x14ac:dyDescent="0.2"/>
  <cols>
    <col min="1" max="1" width="2.42578125" style="106" customWidth="1"/>
    <col min="2" max="2" width="10.28515625" style="4" customWidth="1"/>
    <col min="3" max="4" width="20.7109375" style="4" customWidth="1"/>
    <col min="5" max="5" width="19.140625" style="4" customWidth="1"/>
    <col min="6" max="6" width="14.7109375" style="4" customWidth="1"/>
    <col min="7" max="7" width="17.7109375" style="1" customWidth="1"/>
    <col min="8" max="8" width="12.7109375" style="4" customWidth="1"/>
    <col min="9" max="9" width="16.7109375" style="4" customWidth="1"/>
    <col min="10" max="10" width="7.7109375" style="4" customWidth="1"/>
    <col min="11" max="11" width="10.85546875" style="4" customWidth="1"/>
    <col min="12" max="12" width="21.140625" style="4" customWidth="1"/>
    <col min="13" max="13" width="35.140625" style="37" bestFit="1" customWidth="1"/>
    <col min="14" max="14" width="13.28515625" style="113" bestFit="1" customWidth="1"/>
    <col min="15" max="15" width="10.85546875" style="113" bestFit="1" customWidth="1"/>
    <col min="16" max="16" width="7.5703125" style="113" bestFit="1" customWidth="1"/>
    <col min="17" max="17" width="9" style="113" bestFit="1" customWidth="1"/>
    <col min="18" max="19" width="2" style="113" bestFit="1" customWidth="1"/>
    <col min="20" max="20" width="14" style="113" bestFit="1" customWidth="1"/>
    <col min="21" max="28" width="12.7109375" style="113" customWidth="1"/>
    <col min="29" max="35" width="12.7109375" style="4" customWidth="1"/>
    <col min="36" max="56" width="9.140625" style="4"/>
    <col min="57" max="16384" width="9.140625" style="1"/>
  </cols>
  <sheetData>
    <row r="1" spans="1:28" s="4" customFormat="1" ht="27.75" x14ac:dyDescent="0.4">
      <c r="A1" s="182" t="s">
        <v>284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37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13"/>
      <c r="Z1" s="113"/>
      <c r="AA1" s="113"/>
      <c r="AB1" s="113"/>
    </row>
    <row r="2" spans="1:28" s="4" customFormat="1" ht="27.75" x14ac:dyDescent="0.4">
      <c r="A2" s="104"/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37"/>
      <c r="N2" s="113"/>
      <c r="O2" s="113"/>
      <c r="P2" s="113"/>
      <c r="Q2" s="113"/>
      <c r="R2" s="113"/>
      <c r="S2" s="113"/>
      <c r="T2" s="113"/>
      <c r="U2" s="113"/>
      <c r="V2" s="113"/>
      <c r="W2" s="113"/>
      <c r="X2" s="113"/>
      <c r="Y2" s="113"/>
      <c r="Z2" s="113"/>
      <c r="AA2" s="113"/>
      <c r="AB2" s="113"/>
    </row>
    <row r="3" spans="1:28" s="4" customFormat="1" ht="23.25" x14ac:dyDescent="0.35">
      <c r="A3" s="157" t="s">
        <v>288</v>
      </c>
      <c r="B3" s="157"/>
      <c r="C3" s="157"/>
      <c r="D3" s="157"/>
      <c r="E3" s="157"/>
      <c r="F3" s="157"/>
      <c r="G3" s="157"/>
      <c r="H3" s="157"/>
      <c r="I3" s="157"/>
      <c r="J3" s="157"/>
      <c r="K3" s="157"/>
      <c r="L3" s="157"/>
      <c r="M3" s="60"/>
      <c r="N3" s="113"/>
      <c r="O3" s="113"/>
      <c r="P3" s="113"/>
      <c r="Q3" s="113"/>
      <c r="R3" s="113"/>
      <c r="S3" s="113"/>
      <c r="T3" s="113"/>
      <c r="U3" s="113"/>
      <c r="V3" s="113"/>
      <c r="W3" s="113"/>
      <c r="X3" s="113"/>
      <c r="Y3" s="113"/>
      <c r="Z3" s="113"/>
      <c r="AA3" s="113"/>
      <c r="AB3" s="113"/>
    </row>
    <row r="4" spans="1:28" s="4" customFormat="1" ht="23.25" x14ac:dyDescent="0.35">
      <c r="A4" s="158"/>
      <c r="B4" s="158"/>
      <c r="C4" s="158"/>
      <c r="D4" s="158"/>
      <c r="E4" s="158"/>
      <c r="F4" s="158"/>
      <c r="G4" s="158"/>
      <c r="H4" s="158"/>
      <c r="I4" s="158"/>
      <c r="J4" s="158"/>
      <c r="K4" s="158"/>
      <c r="L4" s="158"/>
      <c r="M4" s="60"/>
      <c r="N4" s="113"/>
      <c r="O4" s="113"/>
      <c r="P4" s="113"/>
      <c r="Q4" s="113"/>
      <c r="R4" s="113"/>
      <c r="S4" s="113"/>
      <c r="T4" s="113"/>
      <c r="U4" s="113"/>
      <c r="V4" s="113"/>
      <c r="W4" s="113"/>
      <c r="X4" s="113"/>
      <c r="Y4" s="113"/>
      <c r="Z4" s="113"/>
      <c r="AA4" s="113"/>
      <c r="AB4" s="113"/>
    </row>
    <row r="5" spans="1:28" s="4" customFormat="1" ht="12.75" x14ac:dyDescent="0.2">
      <c r="A5" s="106"/>
      <c r="M5" s="37"/>
      <c r="N5" s="113"/>
      <c r="O5" s="113"/>
      <c r="P5" s="113"/>
      <c r="Q5" s="113"/>
      <c r="R5" s="113"/>
      <c r="S5" s="113"/>
      <c r="T5" s="113"/>
      <c r="U5" s="113"/>
      <c r="V5" s="113"/>
      <c r="W5" s="113"/>
      <c r="X5" s="113"/>
      <c r="Y5" s="113"/>
      <c r="Z5" s="113"/>
      <c r="AA5" s="113"/>
      <c r="AB5" s="113"/>
    </row>
    <row r="6" spans="1:28" s="43" customFormat="1" ht="15.75" x14ac:dyDescent="0.25">
      <c r="A6" s="59">
        <v>1</v>
      </c>
      <c r="B6" s="45" t="s">
        <v>236</v>
      </c>
      <c r="N6" s="114"/>
      <c r="O6" s="114"/>
      <c r="P6" s="114"/>
      <c r="Q6" s="114"/>
      <c r="R6" s="114"/>
      <c r="S6" s="114"/>
      <c r="T6" s="114"/>
      <c r="U6" s="114"/>
      <c r="V6" s="114"/>
      <c r="W6" s="114"/>
      <c r="X6" s="114"/>
      <c r="Y6" s="114"/>
      <c r="Z6" s="114"/>
      <c r="AA6" s="114"/>
      <c r="AB6" s="114"/>
    </row>
    <row r="7" spans="1:28" s="4" customFormat="1" ht="12.75" x14ac:dyDescent="0.2">
      <c r="A7" s="106"/>
      <c r="M7" s="37"/>
      <c r="N7" s="113"/>
      <c r="O7" s="113"/>
      <c r="P7" s="113"/>
      <c r="Q7" s="113"/>
      <c r="R7" s="113"/>
      <c r="S7" s="113"/>
      <c r="T7" s="113"/>
      <c r="U7" s="113"/>
      <c r="V7" s="113"/>
      <c r="W7" s="113"/>
      <c r="X7" s="113"/>
      <c r="Y7" s="113"/>
      <c r="Z7" s="113"/>
      <c r="AA7" s="113"/>
      <c r="AB7" s="113"/>
    </row>
    <row r="8" spans="1:28" s="4" customFormat="1" ht="12.75" x14ac:dyDescent="0.2">
      <c r="A8" s="106"/>
      <c r="B8" s="4" t="s">
        <v>6</v>
      </c>
      <c r="C8" s="4" t="s">
        <v>63</v>
      </c>
      <c r="I8" s="78"/>
      <c r="M8" s="37"/>
      <c r="N8" s="113"/>
      <c r="O8" s="193"/>
      <c r="P8" s="193"/>
      <c r="Q8" s="193"/>
      <c r="R8" s="193"/>
      <c r="S8" s="193"/>
      <c r="T8" s="193"/>
      <c r="U8" s="113"/>
      <c r="V8" s="113"/>
      <c r="W8" s="113"/>
      <c r="X8" s="113"/>
      <c r="Y8" s="113"/>
      <c r="Z8" s="113"/>
      <c r="AA8" s="113"/>
      <c r="AB8" s="113"/>
    </row>
    <row r="9" spans="1:28" s="4" customFormat="1" ht="12.75" x14ac:dyDescent="0.2">
      <c r="A9" s="106"/>
      <c r="G9" s="106" t="s">
        <v>67</v>
      </c>
      <c r="I9" s="106" t="s">
        <v>69</v>
      </c>
      <c r="J9" s="106"/>
      <c r="K9" s="106"/>
      <c r="L9" s="106" t="s">
        <v>68</v>
      </c>
      <c r="M9" s="37"/>
      <c r="N9" s="113"/>
      <c r="O9" s="113"/>
      <c r="P9" s="113"/>
      <c r="Q9" s="113"/>
      <c r="R9" s="113"/>
      <c r="S9" s="113"/>
      <c r="T9" s="113"/>
      <c r="U9" s="113"/>
      <c r="V9" s="113"/>
      <c r="W9" s="113"/>
      <c r="X9" s="113"/>
      <c r="Y9" s="113"/>
      <c r="Z9" s="113"/>
      <c r="AA9" s="113"/>
      <c r="AB9" s="113"/>
    </row>
    <row r="10" spans="1:28" s="4" customFormat="1" ht="14.25" x14ac:dyDescent="0.2">
      <c r="A10" s="106"/>
      <c r="D10" s="4" t="s">
        <v>53</v>
      </c>
      <c r="G10" s="63"/>
      <c r="I10" s="106" t="s">
        <v>266</v>
      </c>
      <c r="J10" s="106"/>
      <c r="K10" s="106"/>
      <c r="L10" s="106"/>
      <c r="M10" s="37" t="s">
        <v>53</v>
      </c>
      <c r="N10" s="113"/>
      <c r="O10" s="193"/>
      <c r="P10" s="193"/>
      <c r="Q10" s="193"/>
      <c r="R10" s="113"/>
      <c r="S10" s="113"/>
      <c r="T10" s="135"/>
      <c r="U10" s="113"/>
      <c r="V10" s="113"/>
      <c r="W10" s="113"/>
      <c r="X10" s="113"/>
      <c r="Y10" s="113"/>
      <c r="Z10" s="113"/>
      <c r="AA10" s="113"/>
      <c r="AB10" s="113"/>
    </row>
    <row r="11" spans="1:28" ht="15" x14ac:dyDescent="0.25">
      <c r="B11" s="106" t="s">
        <v>48</v>
      </c>
      <c r="C11" s="4" t="s">
        <v>64</v>
      </c>
      <c r="D11" s="33" t="s">
        <v>53</v>
      </c>
      <c r="E11" s="149"/>
      <c r="F11" s="149"/>
      <c r="G11" s="93">
        <f>'INDICES '!B5</f>
        <v>0.35</v>
      </c>
      <c r="H11" s="4" t="s">
        <v>45</v>
      </c>
      <c r="I11" s="146">
        <v>4.9000000000000004</v>
      </c>
      <c r="J11" s="4" t="s">
        <v>8</v>
      </c>
      <c r="K11" s="106" t="s">
        <v>34</v>
      </c>
      <c r="L11" s="5">
        <f>+G11*I11</f>
        <v>1.7150000000000001</v>
      </c>
      <c r="M11" s="37" t="s">
        <v>53</v>
      </c>
      <c r="N11" s="122" t="s">
        <v>53</v>
      </c>
      <c r="O11" s="194"/>
      <c r="P11" s="194"/>
      <c r="Q11" s="194"/>
      <c r="T11" s="136"/>
    </row>
    <row r="12" spans="1:28" ht="14.25" x14ac:dyDescent="0.2">
      <c r="D12" s="4" t="s">
        <v>53</v>
      </c>
      <c r="G12" s="63"/>
      <c r="I12" s="78"/>
      <c r="J12" s="106"/>
      <c r="K12" s="106"/>
      <c r="L12" s="106"/>
      <c r="M12" s="37" t="s">
        <v>53</v>
      </c>
      <c r="T12" s="137"/>
    </row>
    <row r="13" spans="1:28" ht="14.25" x14ac:dyDescent="0.2">
      <c r="B13" s="106" t="s">
        <v>49</v>
      </c>
      <c r="C13" s="4" t="s">
        <v>65</v>
      </c>
      <c r="D13" s="33" t="s">
        <v>53</v>
      </c>
      <c r="G13" s="148">
        <v>0</v>
      </c>
      <c r="H13" s="4" t="s">
        <v>45</v>
      </c>
      <c r="I13" s="5">
        <v>0</v>
      </c>
      <c r="J13" s="4" t="s">
        <v>8</v>
      </c>
      <c r="K13" s="106" t="s">
        <v>34</v>
      </c>
      <c r="L13" s="5">
        <f>+G13*I13</f>
        <v>0</v>
      </c>
      <c r="M13" s="40" t="s">
        <v>53</v>
      </c>
      <c r="O13" s="195" t="s">
        <v>53</v>
      </c>
      <c r="P13" s="194"/>
      <c r="Q13" s="194"/>
      <c r="T13" s="136"/>
    </row>
    <row r="14" spans="1:28" ht="15" x14ac:dyDescent="0.25">
      <c r="D14" s="4" t="s">
        <v>53</v>
      </c>
      <c r="G14" s="80"/>
      <c r="I14" s="106"/>
      <c r="J14" s="106"/>
      <c r="K14" s="106"/>
      <c r="L14" s="106"/>
      <c r="M14" s="37" t="s">
        <v>53</v>
      </c>
      <c r="T14" s="137"/>
    </row>
    <row r="15" spans="1:28" ht="15" x14ac:dyDescent="0.25">
      <c r="B15" s="106" t="s">
        <v>50</v>
      </c>
      <c r="C15" s="4" t="s">
        <v>66</v>
      </c>
      <c r="D15" s="33" t="s">
        <v>53</v>
      </c>
      <c r="G15" s="93">
        <f>+'INDICES '!D5</f>
        <v>0.35</v>
      </c>
      <c r="H15" s="4" t="s">
        <v>45</v>
      </c>
      <c r="I15" s="146">
        <f>I11</f>
        <v>4.9000000000000004</v>
      </c>
      <c r="J15" s="4" t="s">
        <v>8</v>
      </c>
      <c r="K15" s="106" t="s">
        <v>34</v>
      </c>
      <c r="L15" s="5">
        <f>+G15*I15</f>
        <v>1.7150000000000001</v>
      </c>
      <c r="M15" s="37" t="s">
        <v>53</v>
      </c>
      <c r="O15" s="194"/>
      <c r="P15" s="194"/>
      <c r="Q15" s="194"/>
      <c r="T15" s="136"/>
    </row>
    <row r="16" spans="1:28" ht="14.25" x14ac:dyDescent="0.2">
      <c r="D16" s="4" t="s">
        <v>53</v>
      </c>
      <c r="G16" s="81"/>
      <c r="I16" s="106"/>
      <c r="J16" s="106"/>
      <c r="K16" s="106"/>
      <c r="L16" s="106"/>
      <c r="M16" s="37" t="s">
        <v>53</v>
      </c>
    </row>
    <row r="17" spans="1:28" ht="12.75" x14ac:dyDescent="0.2">
      <c r="B17" s="106" t="s">
        <v>56</v>
      </c>
      <c r="C17" s="4" t="s">
        <v>212</v>
      </c>
      <c r="G17" s="19"/>
      <c r="L17" s="5">
        <f>+(L11*G249+L13*G250+L15*G251)/G253</f>
        <v>1.7150000000000003</v>
      </c>
      <c r="M17" s="39"/>
      <c r="R17" s="113" t="s">
        <v>53</v>
      </c>
      <c r="S17" s="113" t="s">
        <v>53</v>
      </c>
      <c r="T17" s="113" t="s">
        <v>53</v>
      </c>
    </row>
    <row r="18" spans="1:28" ht="12.75" x14ac:dyDescent="0.2">
      <c r="B18" s="106"/>
      <c r="G18" s="6"/>
      <c r="L18" s="7"/>
    </row>
    <row r="19" spans="1:28" s="4" customFormat="1" ht="12.75" x14ac:dyDescent="0.2">
      <c r="A19" s="106"/>
      <c r="G19" s="106" t="s">
        <v>67</v>
      </c>
      <c r="I19" s="106" t="s">
        <v>69</v>
      </c>
      <c r="J19" s="106"/>
      <c r="K19" s="106"/>
      <c r="L19" s="106" t="s">
        <v>68</v>
      </c>
      <c r="M19" s="37"/>
      <c r="N19" s="113"/>
      <c r="O19" s="113"/>
      <c r="P19" s="113"/>
      <c r="Q19" s="113"/>
      <c r="R19" s="113"/>
      <c r="S19" s="113"/>
      <c r="T19" s="113"/>
      <c r="U19" s="113"/>
      <c r="V19" s="113"/>
      <c r="W19" s="113"/>
      <c r="X19" s="113"/>
      <c r="Y19" s="113"/>
      <c r="Z19" s="113"/>
      <c r="AA19" s="113"/>
      <c r="AB19" s="113"/>
    </row>
    <row r="20" spans="1:28" ht="14.25" x14ac:dyDescent="0.2">
      <c r="D20" s="4" t="s">
        <v>53</v>
      </c>
      <c r="G20" s="81"/>
      <c r="I20" s="106" t="s">
        <v>266</v>
      </c>
      <c r="J20" s="106"/>
      <c r="K20" s="106"/>
      <c r="L20" s="106"/>
      <c r="M20" s="37" t="s">
        <v>53</v>
      </c>
    </row>
    <row r="21" spans="1:28" ht="15" x14ac:dyDescent="0.25">
      <c r="B21" s="4" t="s">
        <v>9</v>
      </c>
      <c r="C21" s="4" t="s">
        <v>211</v>
      </c>
      <c r="G21" s="93">
        <f>+'INDICES '!D11</f>
        <v>0.04</v>
      </c>
      <c r="H21" s="4" t="s">
        <v>45</v>
      </c>
      <c r="I21" s="146">
        <v>4.9000000000000004</v>
      </c>
      <c r="J21" s="4" t="s">
        <v>8</v>
      </c>
      <c r="K21" s="106" t="s">
        <v>34</v>
      </c>
      <c r="L21" s="5">
        <f>+G21*I21</f>
        <v>0.19600000000000001</v>
      </c>
      <c r="M21" s="37" t="s">
        <v>208</v>
      </c>
      <c r="N21" s="123"/>
      <c r="O21" s="138"/>
      <c r="P21" s="138"/>
      <c r="Q21" s="138"/>
    </row>
    <row r="22" spans="1:28" s="4" customFormat="1" ht="12.75" x14ac:dyDescent="0.2">
      <c r="A22" s="106"/>
      <c r="G22" s="19"/>
      <c r="I22" s="106"/>
      <c r="J22" s="106"/>
      <c r="K22" s="106"/>
      <c r="L22" s="106"/>
      <c r="M22" s="37"/>
      <c r="N22" s="113"/>
      <c r="O22" s="113"/>
      <c r="P22" s="113"/>
      <c r="Q22" s="113"/>
      <c r="R22" s="113"/>
      <c r="S22" s="113"/>
      <c r="T22" s="113"/>
      <c r="U22" s="113"/>
      <c r="V22" s="113"/>
      <c r="W22" s="113"/>
      <c r="X22" s="113"/>
      <c r="Y22" s="113"/>
      <c r="Z22" s="113"/>
      <c r="AA22" s="113"/>
      <c r="AB22" s="113"/>
    </row>
    <row r="23" spans="1:28" s="4" customFormat="1" ht="12.75" x14ac:dyDescent="0.2">
      <c r="A23" s="106"/>
      <c r="B23" s="4" t="s">
        <v>10</v>
      </c>
      <c r="C23" s="4" t="s">
        <v>70</v>
      </c>
      <c r="I23" s="18" t="s">
        <v>53</v>
      </c>
      <c r="M23" s="37"/>
      <c r="N23" s="113"/>
      <c r="O23" s="113"/>
      <c r="P23" s="113"/>
      <c r="Q23" s="113"/>
      <c r="R23" s="113"/>
      <c r="S23" s="113"/>
      <c r="T23" s="113"/>
      <c r="U23" s="113"/>
      <c r="V23" s="113"/>
      <c r="W23" s="113"/>
      <c r="X23" s="113"/>
      <c r="Y23" s="113"/>
      <c r="Z23" s="113"/>
      <c r="AA23" s="113"/>
      <c r="AB23" s="113"/>
    </row>
    <row r="24" spans="1:28" s="4" customFormat="1" ht="12.75" x14ac:dyDescent="0.2">
      <c r="A24" s="106"/>
      <c r="M24" s="37"/>
      <c r="N24" s="113"/>
      <c r="O24" s="113"/>
      <c r="P24" s="113"/>
      <c r="Q24" s="113"/>
      <c r="R24" s="113"/>
      <c r="S24" s="113"/>
      <c r="T24" s="113"/>
      <c r="U24" s="113"/>
      <c r="V24" s="113"/>
      <c r="W24" s="113"/>
      <c r="X24" s="113"/>
      <c r="Y24" s="113"/>
      <c r="Z24" s="113"/>
      <c r="AA24" s="113"/>
      <c r="AB24" s="113"/>
    </row>
    <row r="25" spans="1:28" s="4" customFormat="1" ht="12.75" x14ac:dyDescent="0.2">
      <c r="A25" s="106"/>
      <c r="C25" s="4" t="s">
        <v>71</v>
      </c>
      <c r="G25" s="106" t="s">
        <v>37</v>
      </c>
      <c r="H25" s="106"/>
      <c r="I25" s="106" t="s">
        <v>7</v>
      </c>
      <c r="J25" s="106"/>
      <c r="K25" s="106"/>
      <c r="L25" s="106" t="s">
        <v>72</v>
      </c>
      <c r="M25" s="37"/>
      <c r="N25" s="113"/>
      <c r="O25" s="113"/>
      <c r="P25" s="113"/>
      <c r="Q25" s="113"/>
      <c r="R25" s="113"/>
      <c r="S25" s="113"/>
      <c r="T25" s="113"/>
      <c r="U25" s="113"/>
      <c r="V25" s="113"/>
      <c r="W25" s="113"/>
      <c r="X25" s="113"/>
      <c r="Y25" s="113"/>
      <c r="Z25" s="113"/>
      <c r="AA25" s="113"/>
      <c r="AB25" s="113"/>
    </row>
    <row r="26" spans="1:28" ht="14.25" x14ac:dyDescent="0.2">
      <c r="D26" s="4" t="s">
        <v>53</v>
      </c>
      <c r="G26" s="63"/>
      <c r="I26" s="106"/>
      <c r="J26" s="106"/>
      <c r="K26" s="106"/>
      <c r="L26" s="106"/>
      <c r="M26" s="37" t="s">
        <v>53</v>
      </c>
    </row>
    <row r="27" spans="1:28" ht="12.75" x14ac:dyDescent="0.2">
      <c r="C27" s="11" t="s">
        <v>271</v>
      </c>
      <c r="D27" s="11"/>
      <c r="G27" s="106" t="s">
        <v>47</v>
      </c>
      <c r="I27" s="150">
        <v>2477.5100000000002</v>
      </c>
      <c r="J27" s="4" t="s">
        <v>53</v>
      </c>
      <c r="K27" s="106" t="s">
        <v>34</v>
      </c>
      <c r="L27" s="8">
        <f>+I27*R27*S27</f>
        <v>14865.060000000001</v>
      </c>
      <c r="N27" s="122" t="s">
        <v>53</v>
      </c>
      <c r="R27" s="113">
        <v>1</v>
      </c>
      <c r="S27" s="113">
        <v>6</v>
      </c>
    </row>
    <row r="28" spans="1:28" ht="14.25" x14ac:dyDescent="0.2">
      <c r="D28" s="4" t="s">
        <v>53</v>
      </c>
      <c r="G28" s="63"/>
      <c r="I28" s="106"/>
      <c r="J28" s="106"/>
      <c r="K28" s="106"/>
      <c r="L28" s="106"/>
      <c r="M28" s="37" t="s">
        <v>53</v>
      </c>
    </row>
    <row r="29" spans="1:28" ht="12.75" x14ac:dyDescent="0.2">
      <c r="C29" s="11" t="s">
        <v>11</v>
      </c>
      <c r="D29" s="11"/>
      <c r="G29" s="106" t="s">
        <v>73</v>
      </c>
      <c r="I29" s="150">
        <v>529</v>
      </c>
      <c r="K29" s="106" t="s">
        <v>34</v>
      </c>
      <c r="L29" s="8">
        <f>+I29*R29*S29</f>
        <v>6348</v>
      </c>
      <c r="N29" s="124"/>
      <c r="O29" s="196"/>
      <c r="P29" s="196"/>
      <c r="Q29" s="196"/>
      <c r="R29" s="113">
        <v>2</v>
      </c>
      <c r="S29" s="113">
        <v>6</v>
      </c>
    </row>
    <row r="30" spans="1:28" ht="14.25" x14ac:dyDescent="0.2">
      <c r="D30" s="4" t="s">
        <v>53</v>
      </c>
      <c r="G30" s="63"/>
      <c r="I30" s="106"/>
      <c r="J30" s="106"/>
      <c r="K30" s="106"/>
      <c r="L30" s="106"/>
      <c r="M30" s="37" t="s">
        <v>53</v>
      </c>
      <c r="N30" s="124"/>
    </row>
    <row r="31" spans="1:28" ht="12.75" x14ac:dyDescent="0.2">
      <c r="A31" s="4"/>
      <c r="C31" s="11" t="s">
        <v>12</v>
      </c>
      <c r="D31" s="11"/>
      <c r="G31" s="106" t="s">
        <v>73</v>
      </c>
      <c r="I31" s="8">
        <v>0</v>
      </c>
      <c r="K31" s="106" t="s">
        <v>34</v>
      </c>
      <c r="L31" s="5">
        <f>+I31*R31*S31</f>
        <v>0</v>
      </c>
      <c r="N31" s="124"/>
      <c r="R31" s="113">
        <v>2</v>
      </c>
      <c r="S31" s="113">
        <v>6</v>
      </c>
    </row>
    <row r="32" spans="1:28" ht="14.25" x14ac:dyDescent="0.2">
      <c r="A32" s="4"/>
      <c r="D32" s="4" t="s">
        <v>53</v>
      </c>
      <c r="G32" s="63"/>
      <c r="I32" s="106"/>
      <c r="J32" s="106"/>
      <c r="K32" s="106"/>
      <c r="L32" s="106"/>
      <c r="M32" s="37" t="s">
        <v>53</v>
      </c>
      <c r="N32" s="124"/>
    </row>
    <row r="33" spans="1:28" ht="12.75" x14ac:dyDescent="0.2">
      <c r="A33" s="4"/>
      <c r="C33" s="11" t="s">
        <v>13</v>
      </c>
      <c r="D33" s="11"/>
      <c r="G33" s="106" t="s">
        <v>73</v>
      </c>
      <c r="I33" s="8">
        <v>0</v>
      </c>
      <c r="K33" s="106" t="s">
        <v>34</v>
      </c>
      <c r="L33" s="5">
        <f>+I33*R33*S33</f>
        <v>0</v>
      </c>
      <c r="N33" s="124"/>
      <c r="R33" s="113">
        <v>2</v>
      </c>
      <c r="S33" s="113">
        <v>6</v>
      </c>
    </row>
    <row r="34" spans="1:28" ht="14.25" x14ac:dyDescent="0.2">
      <c r="A34" s="4"/>
      <c r="D34" s="4" t="s">
        <v>53</v>
      </c>
      <c r="G34" s="63"/>
      <c r="I34" s="106"/>
      <c r="J34" s="106"/>
      <c r="K34" s="106"/>
      <c r="L34" s="106"/>
      <c r="M34" s="37" t="s">
        <v>53</v>
      </c>
      <c r="N34" s="124"/>
    </row>
    <row r="35" spans="1:28" ht="12.75" x14ac:dyDescent="0.2">
      <c r="A35" s="4"/>
      <c r="C35" s="11" t="s">
        <v>74</v>
      </c>
      <c r="D35" s="11"/>
      <c r="G35" s="106"/>
      <c r="L35" s="8">
        <f>+L27+L29+L31+L33</f>
        <v>21213.06</v>
      </c>
      <c r="M35" s="37" t="s">
        <v>150</v>
      </c>
      <c r="N35" s="124"/>
    </row>
    <row r="36" spans="1:28" ht="12.75" x14ac:dyDescent="0.2">
      <c r="A36" s="4"/>
      <c r="G36" s="106"/>
      <c r="I36" s="106"/>
      <c r="J36" s="106"/>
      <c r="K36" s="106"/>
      <c r="L36" s="106"/>
      <c r="N36" s="124"/>
    </row>
    <row r="37" spans="1:28" ht="12.75" x14ac:dyDescent="0.2">
      <c r="A37" s="4"/>
      <c r="C37" s="4" t="s">
        <v>75</v>
      </c>
      <c r="G37" s="106" t="s">
        <v>37</v>
      </c>
      <c r="H37" s="106"/>
      <c r="I37" s="106" t="s">
        <v>7</v>
      </c>
      <c r="J37" s="106"/>
      <c r="K37" s="106"/>
      <c r="L37" s="106" t="s">
        <v>72</v>
      </c>
      <c r="N37" s="124"/>
    </row>
    <row r="38" spans="1:28" ht="14.25" x14ac:dyDescent="0.2">
      <c r="A38" s="4"/>
      <c r="D38" s="4" t="s">
        <v>53</v>
      </c>
      <c r="G38" s="63"/>
      <c r="I38" s="106"/>
      <c r="J38" s="106"/>
      <c r="K38" s="106"/>
      <c r="L38" s="106"/>
      <c r="M38" s="37" t="s">
        <v>53</v>
      </c>
      <c r="N38" s="124"/>
    </row>
    <row r="39" spans="1:28" ht="12.75" x14ac:dyDescent="0.2">
      <c r="A39" s="4"/>
      <c r="C39" s="11" t="s">
        <v>271</v>
      </c>
      <c r="D39" s="11"/>
      <c r="G39" s="106" t="s">
        <v>47</v>
      </c>
      <c r="I39" s="8">
        <v>0</v>
      </c>
      <c r="J39" s="4" t="s">
        <v>53</v>
      </c>
      <c r="K39" s="10" t="s">
        <v>34</v>
      </c>
      <c r="L39" s="8">
        <f>+I39*R39*S39</f>
        <v>0</v>
      </c>
      <c r="N39" s="124"/>
      <c r="R39" s="113">
        <v>1</v>
      </c>
      <c r="S39" s="113">
        <v>6</v>
      </c>
    </row>
    <row r="40" spans="1:28" ht="14.25" x14ac:dyDescent="0.2">
      <c r="A40" s="4"/>
      <c r="D40" s="4" t="s">
        <v>53</v>
      </c>
      <c r="G40" s="63"/>
      <c r="I40" s="106"/>
      <c r="J40" s="106"/>
      <c r="K40" s="106"/>
      <c r="L40" s="106"/>
      <c r="M40" s="37" t="s">
        <v>53</v>
      </c>
      <c r="N40" s="124"/>
    </row>
    <row r="41" spans="1:28" ht="12.75" x14ac:dyDescent="0.2">
      <c r="A41" s="4"/>
      <c r="C41" s="11" t="s">
        <v>11</v>
      </c>
      <c r="D41" s="11"/>
      <c r="G41" s="106" t="s">
        <v>73</v>
      </c>
      <c r="I41" s="8">
        <v>0</v>
      </c>
      <c r="J41" s="9"/>
      <c r="K41" s="10" t="s">
        <v>34</v>
      </c>
      <c r="L41" s="8">
        <f>+I41*R41*S41</f>
        <v>0</v>
      </c>
      <c r="N41" s="124"/>
      <c r="R41" s="113">
        <v>2</v>
      </c>
      <c r="S41" s="113">
        <v>6</v>
      </c>
    </row>
    <row r="42" spans="1:28" ht="14.25" x14ac:dyDescent="0.2">
      <c r="A42" s="4"/>
      <c r="D42" s="4" t="s">
        <v>53</v>
      </c>
      <c r="G42" s="63"/>
      <c r="I42" s="106"/>
      <c r="J42" s="106"/>
      <c r="K42" s="106"/>
      <c r="L42" s="106"/>
      <c r="M42" s="37" t="s">
        <v>53</v>
      </c>
      <c r="N42" s="124"/>
    </row>
    <row r="43" spans="1:28" ht="12.75" x14ac:dyDescent="0.2">
      <c r="A43" s="4"/>
      <c r="C43" s="11" t="s">
        <v>12</v>
      </c>
      <c r="D43" s="11"/>
      <c r="G43" s="106" t="s">
        <v>73</v>
      </c>
      <c r="I43" s="8">
        <v>0</v>
      </c>
      <c r="J43" s="9"/>
      <c r="K43" s="10" t="s">
        <v>34</v>
      </c>
      <c r="L43" s="8">
        <f>+I43*R43*S43</f>
        <v>0</v>
      </c>
      <c r="N43" s="124"/>
      <c r="R43" s="113">
        <v>2</v>
      </c>
      <c r="S43" s="113">
        <v>6</v>
      </c>
    </row>
    <row r="44" spans="1:28" ht="14.25" x14ac:dyDescent="0.2">
      <c r="A44" s="4"/>
      <c r="D44" s="4" t="s">
        <v>53</v>
      </c>
      <c r="G44" s="63"/>
      <c r="I44" s="106"/>
      <c r="J44" s="106"/>
      <c r="K44" s="106"/>
      <c r="L44" s="106"/>
      <c r="M44" s="37" t="s">
        <v>53</v>
      </c>
      <c r="N44" s="124"/>
    </row>
    <row r="45" spans="1:28" ht="12.75" x14ac:dyDescent="0.2">
      <c r="A45" s="4"/>
      <c r="C45" s="11" t="s">
        <v>13</v>
      </c>
      <c r="D45" s="11"/>
      <c r="G45" s="106" t="s">
        <v>73</v>
      </c>
      <c r="I45" s="8">
        <v>0</v>
      </c>
      <c r="J45" s="9"/>
      <c r="K45" s="10" t="s">
        <v>34</v>
      </c>
      <c r="L45" s="8">
        <f>+I45*R45*S45</f>
        <v>0</v>
      </c>
      <c r="N45" s="124"/>
      <c r="R45" s="113">
        <v>2</v>
      </c>
      <c r="S45" s="113">
        <v>6</v>
      </c>
    </row>
    <row r="46" spans="1:28" ht="14.25" x14ac:dyDescent="0.2">
      <c r="A46" s="4"/>
      <c r="D46" s="4" t="s">
        <v>53</v>
      </c>
      <c r="G46" s="63"/>
      <c r="I46" s="106"/>
      <c r="J46" s="106"/>
      <c r="K46" s="106"/>
      <c r="L46" s="106"/>
      <c r="M46" s="37" t="s">
        <v>53</v>
      </c>
      <c r="N46" s="124"/>
    </row>
    <row r="47" spans="1:28" ht="12.75" x14ac:dyDescent="0.2">
      <c r="C47" s="11" t="s">
        <v>76</v>
      </c>
      <c r="D47" s="11"/>
      <c r="G47" s="106"/>
      <c r="I47" s="9"/>
      <c r="J47" s="9"/>
      <c r="K47" s="9"/>
      <c r="L47" s="8">
        <f>+L39+L41+L43+L45</f>
        <v>0</v>
      </c>
      <c r="M47" s="37" t="s">
        <v>151</v>
      </c>
      <c r="N47" s="124"/>
    </row>
    <row r="48" spans="1:28" s="4" customFormat="1" ht="12.75" x14ac:dyDescent="0.2">
      <c r="A48" s="106"/>
      <c r="G48" s="106"/>
      <c r="I48" s="106"/>
      <c r="J48" s="106"/>
      <c r="K48" s="106"/>
      <c r="L48" s="106"/>
      <c r="M48" s="37"/>
      <c r="N48" s="124"/>
      <c r="O48" s="113"/>
      <c r="P48" s="113"/>
      <c r="Q48" s="113"/>
      <c r="R48" s="113"/>
      <c r="S48" s="113"/>
      <c r="T48" s="113"/>
      <c r="U48" s="113"/>
      <c r="V48" s="113"/>
      <c r="W48" s="113"/>
      <c r="X48" s="113"/>
      <c r="Y48" s="113"/>
      <c r="Z48" s="113"/>
      <c r="AA48" s="113"/>
      <c r="AB48" s="113"/>
    </row>
    <row r="49" spans="1:28" s="4" customFormat="1" ht="12.75" x14ac:dyDescent="0.2">
      <c r="A49" s="106"/>
      <c r="C49" s="4" t="s">
        <v>291</v>
      </c>
      <c r="G49" s="106" t="s">
        <v>37</v>
      </c>
      <c r="H49" s="106"/>
      <c r="I49" s="106" t="s">
        <v>7</v>
      </c>
      <c r="J49" s="106"/>
      <c r="K49" s="106"/>
      <c r="L49" s="106" t="s">
        <v>72</v>
      </c>
      <c r="M49" s="37"/>
      <c r="N49" s="124"/>
      <c r="O49" s="113"/>
      <c r="P49" s="113"/>
      <c r="Q49" s="113"/>
      <c r="R49" s="113"/>
      <c r="S49" s="113"/>
      <c r="T49" s="113"/>
      <c r="U49" s="113"/>
      <c r="V49" s="113"/>
      <c r="W49" s="113"/>
      <c r="X49" s="113"/>
      <c r="Y49" s="113"/>
      <c r="Z49" s="113"/>
      <c r="AA49" s="113"/>
      <c r="AB49" s="113"/>
    </row>
    <row r="50" spans="1:28" s="4" customFormat="1" ht="14.25" x14ac:dyDescent="0.2">
      <c r="A50" s="106"/>
      <c r="D50" s="4" t="s">
        <v>53</v>
      </c>
      <c r="G50" s="63"/>
      <c r="I50" s="106"/>
      <c r="J50" s="106"/>
      <c r="K50" s="106"/>
      <c r="L50" s="106"/>
      <c r="M50" s="37" t="s">
        <v>53</v>
      </c>
      <c r="N50" s="124"/>
      <c r="O50" s="113"/>
      <c r="P50" s="113"/>
      <c r="Q50" s="113"/>
      <c r="R50" s="113"/>
      <c r="S50" s="113"/>
      <c r="T50" s="113"/>
      <c r="U50" s="113"/>
      <c r="V50" s="113"/>
      <c r="W50" s="113"/>
      <c r="X50" s="113"/>
      <c r="Y50" s="113"/>
      <c r="Z50" s="113"/>
      <c r="AA50" s="113"/>
      <c r="AB50" s="113"/>
    </row>
    <row r="51" spans="1:28" ht="12.75" x14ac:dyDescent="0.2">
      <c r="C51" s="11" t="s">
        <v>272</v>
      </c>
      <c r="D51" s="11"/>
      <c r="G51" s="106" t="s">
        <v>47</v>
      </c>
      <c r="I51" s="150">
        <v>2477.5100000000002</v>
      </c>
      <c r="J51" s="4" t="s">
        <v>53</v>
      </c>
      <c r="K51" s="106" t="s">
        <v>34</v>
      </c>
      <c r="L51" s="8">
        <f>+I51*R51*S51</f>
        <v>14865.060000000001</v>
      </c>
      <c r="N51" s="122" t="s">
        <v>53</v>
      </c>
      <c r="R51" s="113">
        <v>1</v>
      </c>
      <c r="S51" s="113">
        <v>6</v>
      </c>
    </row>
    <row r="52" spans="1:28" ht="14.25" x14ac:dyDescent="0.2">
      <c r="D52" s="4" t="s">
        <v>53</v>
      </c>
      <c r="G52" s="63"/>
      <c r="I52" s="106"/>
      <c r="J52" s="106"/>
      <c r="K52" s="106"/>
      <c r="L52" s="106"/>
      <c r="M52" s="37" t="s">
        <v>53</v>
      </c>
      <c r="N52" s="124"/>
    </row>
    <row r="53" spans="1:28" ht="12.75" x14ac:dyDescent="0.2">
      <c r="C53" s="11" t="s">
        <v>11</v>
      </c>
      <c r="D53" s="11"/>
      <c r="G53" s="106" t="s">
        <v>73</v>
      </c>
      <c r="I53" s="150">
        <v>529</v>
      </c>
      <c r="K53" s="106" t="s">
        <v>34</v>
      </c>
      <c r="L53" s="8">
        <f>+I53*R53*S53</f>
        <v>6348</v>
      </c>
      <c r="N53" s="124"/>
      <c r="O53" s="196"/>
      <c r="P53" s="196"/>
      <c r="Q53" s="196"/>
      <c r="R53" s="113">
        <v>2</v>
      </c>
      <c r="S53" s="113">
        <v>6</v>
      </c>
    </row>
    <row r="54" spans="1:28" ht="14.25" x14ac:dyDescent="0.2">
      <c r="D54" s="4" t="s">
        <v>53</v>
      </c>
      <c r="G54" s="63"/>
      <c r="I54" s="106"/>
      <c r="J54" s="106"/>
      <c r="K54" s="106"/>
      <c r="L54" s="106"/>
      <c r="M54" s="37" t="s">
        <v>53</v>
      </c>
      <c r="N54" s="124"/>
    </row>
    <row r="55" spans="1:28" ht="12.75" x14ac:dyDescent="0.2">
      <c r="C55" s="11" t="s">
        <v>12</v>
      </c>
      <c r="D55" s="11"/>
      <c r="G55" s="106" t="s">
        <v>73</v>
      </c>
      <c r="I55" s="8">
        <v>0</v>
      </c>
      <c r="K55" s="106" t="s">
        <v>34</v>
      </c>
      <c r="L55" s="8">
        <f>+I55*R55*S55</f>
        <v>0</v>
      </c>
      <c r="R55" s="113">
        <v>2</v>
      </c>
      <c r="S55" s="113">
        <v>6</v>
      </c>
    </row>
    <row r="56" spans="1:28" ht="14.25" x14ac:dyDescent="0.2">
      <c r="D56" s="4" t="s">
        <v>53</v>
      </c>
      <c r="G56" s="63"/>
      <c r="I56" s="106"/>
      <c r="J56" s="106"/>
      <c r="K56" s="106"/>
      <c r="L56" s="106"/>
      <c r="M56" s="37" t="s">
        <v>53</v>
      </c>
    </row>
    <row r="57" spans="1:28" ht="12.75" x14ac:dyDescent="0.2">
      <c r="C57" s="11" t="s">
        <v>13</v>
      </c>
      <c r="D57" s="11"/>
      <c r="G57" s="106" t="s">
        <v>73</v>
      </c>
      <c r="I57" s="8">
        <v>0</v>
      </c>
      <c r="K57" s="106" t="s">
        <v>34</v>
      </c>
      <c r="L57" s="8">
        <f>+I57*R57*S57</f>
        <v>0</v>
      </c>
      <c r="R57" s="113">
        <v>2</v>
      </c>
      <c r="S57" s="113">
        <v>6</v>
      </c>
    </row>
    <row r="58" spans="1:28" ht="14.25" x14ac:dyDescent="0.2">
      <c r="D58" s="4" t="s">
        <v>53</v>
      </c>
      <c r="G58" s="63"/>
      <c r="I58" s="106"/>
      <c r="J58" s="106"/>
      <c r="K58" s="106"/>
      <c r="L58" s="106"/>
      <c r="M58" s="37" t="s">
        <v>53</v>
      </c>
    </row>
    <row r="59" spans="1:28" ht="12.75" x14ac:dyDescent="0.2">
      <c r="C59" s="11" t="s">
        <v>92</v>
      </c>
      <c r="D59" s="11"/>
      <c r="G59" s="106"/>
      <c r="L59" s="8">
        <f>+L51+L53+L55+L57</f>
        <v>21213.06</v>
      </c>
      <c r="M59" s="37" t="s">
        <v>152</v>
      </c>
    </row>
    <row r="60" spans="1:28" ht="12.75" x14ac:dyDescent="0.2">
      <c r="G60" s="106"/>
      <c r="I60" s="106"/>
      <c r="J60" s="106"/>
      <c r="K60" s="106"/>
      <c r="L60" s="106"/>
    </row>
    <row r="61" spans="1:28" ht="12.75" x14ac:dyDescent="0.2">
      <c r="C61" s="4" t="s">
        <v>213</v>
      </c>
      <c r="G61" s="4"/>
      <c r="L61" s="8">
        <f>+(L35*G249+L47*G250+L59*G251)/G253</f>
        <v>21213.060000000005</v>
      </c>
      <c r="M61" s="37" t="s">
        <v>53</v>
      </c>
    </row>
    <row r="62" spans="1:28" ht="14.25" x14ac:dyDescent="0.2">
      <c r="D62" s="4" t="s">
        <v>53</v>
      </c>
      <c r="G62" s="63"/>
      <c r="I62" s="106"/>
      <c r="J62" s="106"/>
      <c r="K62" s="106"/>
      <c r="L62" s="106"/>
      <c r="M62" s="37" t="s">
        <v>53</v>
      </c>
    </row>
    <row r="63" spans="1:28" ht="15" x14ac:dyDescent="0.25">
      <c r="A63" s="4"/>
      <c r="C63" s="4" t="s">
        <v>77</v>
      </c>
      <c r="G63" s="4"/>
      <c r="L63" s="94">
        <f>+'INDICES '!D16</f>
        <v>85000</v>
      </c>
      <c r="M63" s="37" t="s">
        <v>53</v>
      </c>
      <c r="S63" s="113" t="s">
        <v>53</v>
      </c>
    </row>
    <row r="64" spans="1:28" ht="14.25" x14ac:dyDescent="0.2">
      <c r="A64" s="4"/>
      <c r="D64" s="4" t="s">
        <v>53</v>
      </c>
      <c r="G64" s="63"/>
      <c r="I64" s="106"/>
      <c r="J64" s="106"/>
      <c r="K64" s="106"/>
      <c r="L64" s="106"/>
      <c r="M64" s="37" t="s">
        <v>53</v>
      </c>
    </row>
    <row r="65" spans="1:13" ht="12.75" x14ac:dyDescent="0.2">
      <c r="A65" s="4"/>
      <c r="C65" s="4" t="s">
        <v>78</v>
      </c>
      <c r="G65" s="4"/>
      <c r="L65" s="5">
        <f>+L61/L63</f>
        <v>0.24956541176470595</v>
      </c>
      <c r="M65" s="40"/>
    </row>
    <row r="66" spans="1:13" ht="12.75" x14ac:dyDescent="0.2">
      <c r="A66" s="4"/>
      <c r="G66" s="4"/>
    </row>
    <row r="67" spans="1:13" ht="12.75" x14ac:dyDescent="0.2">
      <c r="A67" s="4"/>
      <c r="B67" s="4" t="s">
        <v>14</v>
      </c>
      <c r="C67" s="4" t="s">
        <v>79</v>
      </c>
      <c r="G67" s="4"/>
    </row>
    <row r="68" spans="1:13" ht="12.75" x14ac:dyDescent="0.2">
      <c r="A68" s="4"/>
      <c r="G68" s="106"/>
      <c r="I68" s="106"/>
      <c r="J68" s="106"/>
      <c r="K68" s="106"/>
      <c r="L68" s="106"/>
    </row>
    <row r="69" spans="1:13" ht="12.75" x14ac:dyDescent="0.2">
      <c r="A69" s="4"/>
      <c r="C69" s="106" t="s">
        <v>67</v>
      </c>
      <c r="D69" s="4" t="s">
        <v>53</v>
      </c>
      <c r="E69" s="4" t="s">
        <v>258</v>
      </c>
      <c r="G69" s="106"/>
      <c r="I69" s="106" t="s">
        <v>285</v>
      </c>
      <c r="J69" s="106"/>
      <c r="K69" s="106"/>
      <c r="L69" s="106" t="s">
        <v>68</v>
      </c>
    </row>
    <row r="70" spans="1:13" ht="14.25" x14ac:dyDescent="0.2">
      <c r="A70" s="4"/>
      <c r="D70" s="4" t="s">
        <v>53</v>
      </c>
      <c r="G70" s="63"/>
      <c r="I70" s="106"/>
      <c r="J70" s="106"/>
      <c r="K70" s="106"/>
      <c r="L70" s="106"/>
      <c r="M70" s="37" t="s">
        <v>53</v>
      </c>
    </row>
    <row r="71" spans="1:13" ht="15" x14ac:dyDescent="0.25">
      <c r="A71" s="4"/>
      <c r="C71" s="93">
        <f>+'INDICES '!D25</f>
        <v>3.3E-3</v>
      </c>
      <c r="D71" s="197" t="s">
        <v>33</v>
      </c>
      <c r="E71" s="198"/>
      <c r="F71" s="61">
        <f>+((G249*L147+G250*L181+G251*L215))/G253</f>
        <v>641449.96</v>
      </c>
      <c r="G71" s="197" t="s">
        <v>80</v>
      </c>
      <c r="H71" s="199"/>
      <c r="I71" s="62">
        <f>+D347</f>
        <v>3698.9875000000002</v>
      </c>
      <c r="J71" s="20"/>
      <c r="K71" s="106" t="s">
        <v>34</v>
      </c>
      <c r="L71" s="5">
        <f>+(C71*F71)/I71</f>
        <v>0.57226061672281936</v>
      </c>
    </row>
    <row r="72" spans="1:13" ht="12.75" x14ac:dyDescent="0.2">
      <c r="A72" s="4"/>
      <c r="G72" s="106"/>
      <c r="I72" s="106"/>
      <c r="J72" s="106"/>
      <c r="K72" s="106"/>
      <c r="L72" s="106"/>
    </row>
    <row r="73" spans="1:13" ht="12.75" x14ac:dyDescent="0.2">
      <c r="A73" s="4"/>
      <c r="B73" s="4" t="s">
        <v>81</v>
      </c>
      <c r="C73" s="4" t="s">
        <v>82</v>
      </c>
      <c r="F73" s="9" t="s">
        <v>53</v>
      </c>
      <c r="G73" s="4"/>
    </row>
    <row r="74" spans="1:13" ht="12.75" x14ac:dyDescent="0.2">
      <c r="A74" s="4"/>
      <c r="G74" s="106"/>
      <c r="I74" s="106"/>
      <c r="J74" s="106"/>
      <c r="K74" s="106"/>
      <c r="L74" s="106"/>
    </row>
    <row r="75" spans="1:13" ht="12.75" x14ac:dyDescent="0.2">
      <c r="A75" s="4"/>
      <c r="B75" s="106" t="s">
        <v>83</v>
      </c>
      <c r="C75" s="4" t="s">
        <v>84</v>
      </c>
      <c r="G75" s="4"/>
      <c r="L75" s="5">
        <f>+L17</f>
        <v>1.7150000000000003</v>
      </c>
    </row>
    <row r="76" spans="1:13" ht="14.25" x14ac:dyDescent="0.2">
      <c r="A76" s="4"/>
      <c r="D76" s="4" t="s">
        <v>53</v>
      </c>
      <c r="G76" s="63"/>
      <c r="I76" s="106"/>
      <c r="J76" s="106"/>
      <c r="K76" s="106"/>
      <c r="L76" s="106"/>
      <c r="M76" s="37" t="s">
        <v>53</v>
      </c>
    </row>
    <row r="77" spans="1:13" ht="12.75" x14ac:dyDescent="0.2">
      <c r="A77" s="4"/>
      <c r="B77" s="106" t="s">
        <v>85</v>
      </c>
      <c r="C77" s="4" t="s">
        <v>86</v>
      </c>
      <c r="G77" s="4"/>
      <c r="L77" s="5">
        <f>+L21</f>
        <v>0.19600000000000001</v>
      </c>
    </row>
    <row r="78" spans="1:13" ht="14.25" x14ac:dyDescent="0.2">
      <c r="A78" s="4"/>
      <c r="D78" s="4" t="s">
        <v>53</v>
      </c>
      <c r="G78" s="63"/>
      <c r="I78" s="106"/>
      <c r="J78" s="106"/>
      <c r="K78" s="106"/>
      <c r="L78" s="106"/>
      <c r="M78" s="37" t="s">
        <v>53</v>
      </c>
    </row>
    <row r="79" spans="1:13" ht="12.75" x14ac:dyDescent="0.2">
      <c r="B79" s="106" t="s">
        <v>87</v>
      </c>
      <c r="C79" s="4" t="s">
        <v>88</v>
      </c>
      <c r="G79" s="4"/>
      <c r="L79" s="5">
        <f>+L65</f>
        <v>0.24956541176470595</v>
      </c>
    </row>
    <row r="80" spans="1:13" ht="14.25" x14ac:dyDescent="0.2">
      <c r="D80" s="4" t="s">
        <v>53</v>
      </c>
      <c r="G80" s="63"/>
      <c r="I80" s="106"/>
      <c r="J80" s="106"/>
      <c r="K80" s="106"/>
      <c r="L80" s="106"/>
      <c r="M80" s="37" t="s">
        <v>53</v>
      </c>
    </row>
    <row r="81" spans="1:28" ht="12.75" x14ac:dyDescent="0.2">
      <c r="B81" s="106" t="s">
        <v>89</v>
      </c>
      <c r="C81" s="4" t="s">
        <v>90</v>
      </c>
      <c r="G81" s="4"/>
      <c r="L81" s="5">
        <f>+L71</f>
        <v>0.57226061672281936</v>
      </c>
    </row>
    <row r="82" spans="1:28" ht="14.25" x14ac:dyDescent="0.2">
      <c r="D82" s="4" t="s">
        <v>53</v>
      </c>
      <c r="G82" s="63"/>
      <c r="I82" s="106"/>
      <c r="J82" s="106"/>
      <c r="K82" s="106"/>
      <c r="L82" s="106"/>
      <c r="M82" s="37" t="s">
        <v>53</v>
      </c>
    </row>
    <row r="83" spans="1:28" ht="12.75" x14ac:dyDescent="0.2">
      <c r="B83" s="106" t="s">
        <v>195</v>
      </c>
      <c r="C83" s="4" t="s">
        <v>91</v>
      </c>
      <c r="G83" s="4"/>
      <c r="L83" s="5">
        <f>+L75+L77+L79+L81</f>
        <v>2.7328260284875259</v>
      </c>
      <c r="M83" s="37" t="s">
        <v>223</v>
      </c>
      <c r="N83" s="125"/>
      <c r="O83" s="125"/>
      <c r="P83" s="125"/>
      <c r="Q83" s="125"/>
    </row>
    <row r="84" spans="1:28" ht="12.75" x14ac:dyDescent="0.2">
      <c r="G84" s="4"/>
    </row>
    <row r="85" spans="1:28" s="43" customFormat="1" ht="15.75" x14ac:dyDescent="0.25">
      <c r="A85" s="59">
        <v>2</v>
      </c>
      <c r="B85" s="45" t="s">
        <v>237</v>
      </c>
      <c r="N85" s="114"/>
      <c r="O85" s="114"/>
      <c r="P85" s="114"/>
      <c r="Q85" s="114"/>
      <c r="R85" s="114"/>
      <c r="S85" s="114"/>
      <c r="T85" s="114"/>
      <c r="U85" s="114"/>
      <c r="V85" s="114"/>
      <c r="W85" s="114"/>
      <c r="X85" s="114"/>
      <c r="Y85" s="114"/>
      <c r="Z85" s="114"/>
      <c r="AA85" s="114"/>
      <c r="AB85" s="114"/>
    </row>
    <row r="86" spans="1:28" s="4" customFormat="1" ht="12.75" x14ac:dyDescent="0.2">
      <c r="A86" s="106"/>
      <c r="G86" s="106"/>
      <c r="I86" s="106"/>
      <c r="J86" s="106"/>
      <c r="K86" s="106"/>
      <c r="L86" s="106"/>
      <c r="M86" s="37"/>
      <c r="N86" s="113"/>
      <c r="O86" s="113"/>
      <c r="P86" s="113"/>
      <c r="Q86" s="113"/>
      <c r="R86" s="113"/>
      <c r="S86" s="113"/>
      <c r="T86" s="113"/>
      <c r="U86" s="113"/>
      <c r="V86" s="113"/>
      <c r="W86" s="113"/>
      <c r="X86" s="113"/>
      <c r="Y86" s="113"/>
      <c r="Z86" s="113"/>
      <c r="AA86" s="113"/>
      <c r="AB86" s="113"/>
    </row>
    <row r="87" spans="1:28" s="4" customFormat="1" ht="12.75" x14ac:dyDescent="0.2">
      <c r="A87" s="106"/>
      <c r="B87" s="4" t="s">
        <v>16</v>
      </c>
      <c r="C87" s="4" t="s">
        <v>17</v>
      </c>
      <c r="E87" s="106" t="s">
        <v>1</v>
      </c>
      <c r="F87" s="106"/>
      <c r="G87" s="106" t="s">
        <v>101</v>
      </c>
      <c r="I87" s="106" t="s">
        <v>44</v>
      </c>
      <c r="L87" s="106" t="s">
        <v>93</v>
      </c>
      <c r="M87" s="37"/>
      <c r="N87" s="113"/>
      <c r="O87" s="113"/>
      <c r="P87" s="113"/>
      <c r="Q87" s="113"/>
      <c r="R87" s="113"/>
      <c r="S87" s="113"/>
      <c r="T87" s="113"/>
      <c r="U87" s="113"/>
      <c r="V87" s="113"/>
      <c r="W87" s="113"/>
      <c r="X87" s="113"/>
      <c r="Y87" s="113"/>
      <c r="Z87" s="113"/>
      <c r="AA87" s="113"/>
      <c r="AB87" s="113"/>
    </row>
    <row r="88" spans="1:28" ht="14.25" x14ac:dyDescent="0.2">
      <c r="D88" s="4" t="s">
        <v>53</v>
      </c>
      <c r="G88" s="81"/>
      <c r="H88" s="121" t="s">
        <v>278</v>
      </c>
      <c r="I88" s="106"/>
      <c r="J88" s="106"/>
      <c r="K88" s="106"/>
      <c r="L88" s="106"/>
      <c r="M88" s="37" t="s">
        <v>53</v>
      </c>
    </row>
    <row r="89" spans="1:28" s="4" customFormat="1" ht="12.75" x14ac:dyDescent="0.2">
      <c r="A89" s="106"/>
      <c r="C89" s="4" t="s">
        <v>94</v>
      </c>
      <c r="D89" s="11"/>
      <c r="E89" s="8">
        <f>2500*1.08</f>
        <v>2700</v>
      </c>
      <c r="F89" s="12" t="s">
        <v>33</v>
      </c>
      <c r="G89" s="56">
        <f>+'INDICES '!D29</f>
        <v>2.2000000000000002</v>
      </c>
      <c r="H89" s="133">
        <f>+G89*H115</f>
        <v>11</v>
      </c>
      <c r="I89" s="56">
        <v>1.3705000000000001</v>
      </c>
      <c r="K89" s="106" t="s">
        <v>34</v>
      </c>
      <c r="L89" s="8">
        <f>+E89*G89*I89</f>
        <v>8140.7700000000013</v>
      </c>
      <c r="M89" s="37" t="s">
        <v>53</v>
      </c>
      <c r="N89" s="113"/>
      <c r="O89" s="113"/>
      <c r="P89" s="113"/>
      <c r="Q89" s="113"/>
      <c r="R89" s="113" t="s">
        <v>53</v>
      </c>
      <c r="S89" s="113"/>
      <c r="T89" s="113"/>
      <c r="U89" s="113"/>
      <c r="V89" s="113"/>
      <c r="W89" s="113"/>
      <c r="X89" s="113"/>
      <c r="Y89" s="113"/>
      <c r="Z89" s="113"/>
      <c r="AA89" s="113"/>
      <c r="AB89" s="113"/>
    </row>
    <row r="90" spans="1:28" ht="14.25" x14ac:dyDescent="0.2">
      <c r="D90" s="4" t="s">
        <v>53</v>
      </c>
      <c r="G90" s="81"/>
      <c r="H90" s="134"/>
      <c r="I90" s="106"/>
      <c r="J90" s="106"/>
      <c r="K90" s="106"/>
      <c r="L90" s="106"/>
      <c r="M90" s="37" t="s">
        <v>53</v>
      </c>
    </row>
    <row r="91" spans="1:28" s="4" customFormat="1" ht="12.75" x14ac:dyDescent="0.2">
      <c r="A91" s="106"/>
      <c r="C91" s="4" t="s">
        <v>95</v>
      </c>
      <c r="D91" s="11"/>
      <c r="E91" s="8">
        <f>+'[1]DADOS DE ENTRADA'!D56</f>
        <v>0</v>
      </c>
      <c r="F91" s="12" t="s">
        <v>33</v>
      </c>
      <c r="G91" s="96">
        <v>0</v>
      </c>
      <c r="H91" s="133" t="s">
        <v>53</v>
      </c>
      <c r="I91" s="96">
        <v>0</v>
      </c>
      <c r="K91" s="106" t="s">
        <v>34</v>
      </c>
      <c r="L91" s="8">
        <f>+E91*G91*I91</f>
        <v>0</v>
      </c>
      <c r="M91" s="37" t="s">
        <v>53</v>
      </c>
      <c r="N91" s="113"/>
      <c r="O91" s="113"/>
      <c r="P91" s="113"/>
      <c r="Q91" s="113"/>
      <c r="R91" s="113"/>
      <c r="S91" s="113"/>
      <c r="T91" s="113"/>
      <c r="U91" s="113"/>
      <c r="V91" s="113"/>
      <c r="W91" s="113"/>
      <c r="X91" s="113"/>
      <c r="Y91" s="113"/>
      <c r="Z91" s="113"/>
      <c r="AA91" s="113"/>
      <c r="AB91" s="113"/>
    </row>
    <row r="92" spans="1:28" ht="14.25" x14ac:dyDescent="0.2">
      <c r="D92" s="4" t="s">
        <v>53</v>
      </c>
      <c r="G92" s="81"/>
      <c r="H92" s="134"/>
      <c r="I92" s="106"/>
      <c r="J92" s="106"/>
      <c r="K92" s="106"/>
      <c r="L92" s="106"/>
      <c r="M92" s="37" t="s">
        <v>53</v>
      </c>
    </row>
    <row r="93" spans="1:28" s="4" customFormat="1" ht="12.75" x14ac:dyDescent="0.2">
      <c r="A93" s="106"/>
      <c r="C93" s="4" t="s">
        <v>96</v>
      </c>
      <c r="D93" s="82" t="s">
        <v>53</v>
      </c>
      <c r="E93" s="8">
        <f>1.08*1899.52</f>
        <v>2051.4816000000001</v>
      </c>
      <c r="F93" s="12" t="s">
        <v>33</v>
      </c>
      <c r="G93" s="56">
        <f>+'INDICES '!D31</f>
        <v>0.2</v>
      </c>
      <c r="H93" s="133">
        <f>+G93*H115</f>
        <v>1</v>
      </c>
      <c r="I93" s="56">
        <v>1.3705000000000001</v>
      </c>
      <c r="K93" s="106" t="s">
        <v>34</v>
      </c>
      <c r="L93" s="8">
        <f>+E93*G93*I93</f>
        <v>562.3111065600001</v>
      </c>
      <c r="M93" s="37" t="s">
        <v>53</v>
      </c>
      <c r="N93" s="113"/>
      <c r="O93" s="113"/>
      <c r="P93" s="113"/>
      <c r="Q93" s="113"/>
      <c r="R93" s="113"/>
      <c r="S93" s="113"/>
      <c r="T93" s="113"/>
      <c r="U93" s="113"/>
      <c r="V93" s="113"/>
      <c r="W93" s="113"/>
      <c r="X93" s="113"/>
      <c r="Y93" s="113"/>
      <c r="Z93" s="113"/>
      <c r="AA93" s="113"/>
      <c r="AB93" s="113"/>
    </row>
    <row r="94" spans="1:28" ht="14.25" x14ac:dyDescent="0.2">
      <c r="D94" s="4" t="s">
        <v>53</v>
      </c>
      <c r="G94" s="95"/>
      <c r="H94" s="134"/>
      <c r="I94" s="106"/>
      <c r="J94" s="106"/>
      <c r="K94" s="106"/>
      <c r="L94" s="106"/>
      <c r="M94" s="37" t="s">
        <v>53</v>
      </c>
    </row>
    <row r="95" spans="1:28" s="4" customFormat="1" ht="12.75" x14ac:dyDescent="0.2">
      <c r="A95" s="106"/>
      <c r="C95" s="4" t="s">
        <v>98</v>
      </c>
      <c r="D95" s="82"/>
      <c r="E95" s="8">
        <f>1.08*659.41</f>
        <v>712.16280000000006</v>
      </c>
      <c r="F95" s="12" t="s">
        <v>33</v>
      </c>
      <c r="G95" s="56">
        <f>+G89+G93</f>
        <v>2.4000000000000004</v>
      </c>
      <c r="H95" s="48"/>
      <c r="I95" s="4" t="s">
        <v>53</v>
      </c>
      <c r="K95" s="106" t="s">
        <v>34</v>
      </c>
      <c r="L95" s="8">
        <f>+E95*G95</f>
        <v>1709.1907200000005</v>
      </c>
      <c r="M95" s="37" t="s">
        <v>53</v>
      </c>
      <c r="N95" s="113"/>
      <c r="O95" s="113"/>
      <c r="P95" s="113"/>
      <c r="Q95" s="113"/>
      <c r="R95" s="113"/>
      <c r="S95" s="113"/>
      <c r="T95" s="113"/>
      <c r="U95" s="113"/>
      <c r="V95" s="113"/>
      <c r="W95" s="113"/>
      <c r="X95" s="113"/>
      <c r="Y95" s="113"/>
      <c r="Z95" s="113"/>
      <c r="AA95" s="113"/>
      <c r="AB95" s="113"/>
    </row>
    <row r="96" spans="1:28" ht="14.25" x14ac:dyDescent="0.2">
      <c r="D96" s="4" t="s">
        <v>53</v>
      </c>
      <c r="G96" s="81"/>
      <c r="H96" s="48"/>
      <c r="I96" s="106"/>
      <c r="J96" s="106"/>
      <c r="K96" s="106"/>
      <c r="L96" s="106"/>
      <c r="M96" s="37" t="s">
        <v>53</v>
      </c>
    </row>
    <row r="97" spans="1:28" s="4" customFormat="1" ht="12.75" x14ac:dyDescent="0.2">
      <c r="A97" s="106"/>
      <c r="C97" s="4" t="s">
        <v>97</v>
      </c>
      <c r="H97" s="48"/>
      <c r="L97" s="8">
        <f>+L89+L91+L93+L95</f>
        <v>10412.271826560002</v>
      </c>
      <c r="M97" s="37"/>
      <c r="N97" s="113"/>
      <c r="O97" s="113"/>
      <c r="P97" s="113"/>
      <c r="Q97" s="113"/>
      <c r="R97" s="113"/>
      <c r="S97" s="113"/>
      <c r="T97" s="113"/>
      <c r="U97" s="113"/>
      <c r="V97" s="113"/>
      <c r="W97" s="113"/>
      <c r="X97" s="113"/>
      <c r="Y97" s="113"/>
      <c r="Z97" s="113"/>
      <c r="AA97" s="113"/>
      <c r="AB97" s="113"/>
    </row>
    <row r="98" spans="1:28" s="4" customFormat="1" ht="12.75" x14ac:dyDescent="0.2">
      <c r="A98" s="106"/>
      <c r="C98" s="11"/>
      <c r="D98" s="11"/>
      <c r="E98" s="4" t="s">
        <v>53</v>
      </c>
      <c r="G98" s="4" t="s">
        <v>53</v>
      </c>
      <c r="H98" s="48"/>
      <c r="L98" s="13"/>
      <c r="M98" s="37"/>
      <c r="N98" s="113"/>
      <c r="O98" s="113"/>
      <c r="P98" s="113"/>
      <c r="Q98" s="113"/>
      <c r="R98" s="113"/>
      <c r="S98" s="113"/>
      <c r="T98" s="113"/>
      <c r="U98" s="113"/>
      <c r="V98" s="113"/>
      <c r="W98" s="113"/>
      <c r="X98" s="113"/>
      <c r="Y98" s="113"/>
      <c r="Z98" s="113"/>
      <c r="AA98" s="113"/>
      <c r="AB98" s="113"/>
    </row>
    <row r="99" spans="1:28" s="4" customFormat="1" ht="12.75" x14ac:dyDescent="0.2">
      <c r="A99" s="106"/>
      <c r="B99" s="4" t="s">
        <v>53</v>
      </c>
      <c r="C99" s="4" t="s">
        <v>53</v>
      </c>
      <c r="E99" s="106" t="s">
        <v>1</v>
      </c>
      <c r="F99" s="106"/>
      <c r="G99" s="106" t="s">
        <v>100</v>
      </c>
      <c r="H99" s="48"/>
      <c r="I99" s="106" t="s">
        <v>44</v>
      </c>
      <c r="L99" s="106" t="s">
        <v>93</v>
      </c>
      <c r="M99" s="37"/>
      <c r="N99" s="113"/>
      <c r="O99" s="113"/>
      <c r="P99" s="113"/>
      <c r="Q99" s="113"/>
      <c r="R99" s="113"/>
      <c r="S99" s="113"/>
      <c r="T99" s="113"/>
      <c r="U99" s="113"/>
      <c r="V99" s="113"/>
      <c r="W99" s="113"/>
      <c r="X99" s="113"/>
      <c r="Y99" s="113"/>
      <c r="Z99" s="113"/>
      <c r="AA99" s="113"/>
      <c r="AB99" s="113"/>
    </row>
    <row r="100" spans="1:28" ht="14.25" x14ac:dyDescent="0.2">
      <c r="D100" s="4" t="s">
        <v>53</v>
      </c>
      <c r="G100" s="81"/>
      <c r="H100" s="48"/>
      <c r="I100" s="106"/>
      <c r="J100" s="106"/>
      <c r="K100" s="106"/>
      <c r="L100" s="106"/>
      <c r="M100" s="37" t="s">
        <v>53</v>
      </c>
    </row>
    <row r="101" spans="1:28" s="4" customFormat="1" ht="12.75" x14ac:dyDescent="0.2">
      <c r="A101" s="106"/>
      <c r="C101" s="4" t="s">
        <v>99</v>
      </c>
      <c r="D101" s="11"/>
      <c r="E101" s="8">
        <v>2700</v>
      </c>
      <c r="F101" s="12" t="s">
        <v>33</v>
      </c>
      <c r="G101" s="56">
        <f>+'INDICES '!D29</f>
        <v>2.2000000000000002</v>
      </c>
      <c r="H101" s="133">
        <f>+G101*H117</f>
        <v>6.6000000000000005</v>
      </c>
      <c r="I101" s="96">
        <v>1.3705000000000001</v>
      </c>
      <c r="K101" s="106" t="s">
        <v>34</v>
      </c>
      <c r="L101" s="8">
        <f>+E101*G101*I101</f>
        <v>8140.7700000000013</v>
      </c>
      <c r="M101" s="37" t="s">
        <v>53</v>
      </c>
      <c r="N101" s="113"/>
      <c r="O101" s="113"/>
      <c r="P101" s="113"/>
      <c r="Q101" s="113"/>
      <c r="R101" s="113"/>
      <c r="S101" s="113"/>
      <c r="T101" s="113"/>
      <c r="U101" s="113"/>
      <c r="V101" s="113"/>
      <c r="W101" s="113"/>
      <c r="X101" s="113"/>
      <c r="Y101" s="113"/>
      <c r="Z101" s="113"/>
      <c r="AA101" s="113"/>
      <c r="AB101" s="113"/>
    </row>
    <row r="102" spans="1:28" ht="14.25" x14ac:dyDescent="0.2">
      <c r="D102" s="4" t="s">
        <v>53</v>
      </c>
      <c r="G102" s="81"/>
      <c r="H102" s="134"/>
      <c r="I102" s="106"/>
      <c r="J102" s="106"/>
      <c r="K102" s="106"/>
      <c r="L102" s="106"/>
      <c r="M102" s="37" t="s">
        <v>53</v>
      </c>
    </row>
    <row r="103" spans="1:28" s="4" customFormat="1" ht="12.75" x14ac:dyDescent="0.2">
      <c r="A103" s="106"/>
      <c r="C103" s="4" t="s">
        <v>95</v>
      </c>
      <c r="D103" s="11"/>
      <c r="E103" s="8">
        <v>0</v>
      </c>
      <c r="F103" s="12" t="s">
        <v>33</v>
      </c>
      <c r="G103" s="96">
        <v>0</v>
      </c>
      <c r="H103" s="133" t="s">
        <v>53</v>
      </c>
      <c r="I103" s="96">
        <v>0</v>
      </c>
      <c r="K103" s="106" t="s">
        <v>34</v>
      </c>
      <c r="L103" s="8">
        <f>+E103*G103*I103</f>
        <v>0</v>
      </c>
      <c r="M103" s="37" t="s">
        <v>53</v>
      </c>
      <c r="N103" s="113"/>
      <c r="O103" s="113"/>
      <c r="P103" s="113"/>
      <c r="Q103" s="113"/>
      <c r="R103" s="113"/>
      <c r="S103" s="113"/>
      <c r="T103" s="113"/>
      <c r="U103" s="113"/>
      <c r="V103" s="113"/>
      <c r="W103" s="113"/>
      <c r="X103" s="113"/>
      <c r="Y103" s="113"/>
      <c r="Z103" s="113"/>
      <c r="AA103" s="113"/>
      <c r="AB103" s="113"/>
    </row>
    <row r="104" spans="1:28" ht="14.25" x14ac:dyDescent="0.2">
      <c r="D104" s="4" t="s">
        <v>53</v>
      </c>
      <c r="G104" s="81"/>
      <c r="H104" s="134"/>
      <c r="I104" s="106"/>
      <c r="J104" s="106"/>
      <c r="K104" s="106"/>
      <c r="L104" s="106"/>
      <c r="M104" s="37" t="s">
        <v>53</v>
      </c>
    </row>
    <row r="105" spans="1:28" s="4" customFormat="1" ht="12.75" x14ac:dyDescent="0.2">
      <c r="A105" s="106"/>
      <c r="C105" s="4" t="s">
        <v>96</v>
      </c>
      <c r="D105" s="82"/>
      <c r="E105" s="8">
        <v>2051.4816000000001</v>
      </c>
      <c r="F105" s="12" t="s">
        <v>33</v>
      </c>
      <c r="G105" s="56">
        <f>+'INDICES '!D31</f>
        <v>0.2</v>
      </c>
      <c r="H105" s="133">
        <f>+G105*H117</f>
        <v>0.60000000000000009</v>
      </c>
      <c r="I105" s="96">
        <v>1.3705000000000001</v>
      </c>
      <c r="K105" s="106" t="s">
        <v>34</v>
      </c>
      <c r="L105" s="8">
        <f>+E105*G105*I105</f>
        <v>562.3111065600001</v>
      </c>
      <c r="M105" s="37" t="s">
        <v>53</v>
      </c>
      <c r="N105" s="113"/>
      <c r="O105" s="113"/>
      <c r="P105" s="113"/>
      <c r="Q105" s="113"/>
      <c r="R105" s="113"/>
      <c r="S105" s="113"/>
      <c r="T105" s="113"/>
      <c r="U105" s="113"/>
      <c r="V105" s="113"/>
      <c r="W105" s="113"/>
      <c r="X105" s="113"/>
      <c r="Y105" s="113"/>
      <c r="Z105" s="113"/>
      <c r="AA105" s="113"/>
      <c r="AB105" s="113"/>
    </row>
    <row r="106" spans="1:28" ht="14.25" x14ac:dyDescent="0.2">
      <c r="D106" s="4" t="s">
        <v>53</v>
      </c>
      <c r="G106" s="81"/>
      <c r="I106" s="106"/>
      <c r="J106" s="106"/>
      <c r="K106" s="106"/>
      <c r="L106" s="106"/>
      <c r="M106" s="37" t="s">
        <v>53</v>
      </c>
    </row>
    <row r="107" spans="1:28" s="4" customFormat="1" ht="12.75" x14ac:dyDescent="0.2">
      <c r="A107" s="106"/>
      <c r="C107" s="4" t="s">
        <v>98</v>
      </c>
      <c r="D107" s="82"/>
      <c r="E107" s="8">
        <v>712.16280000000006</v>
      </c>
      <c r="F107" s="12" t="s">
        <v>33</v>
      </c>
      <c r="G107" s="56">
        <f>+G101+G105</f>
        <v>2.4000000000000004</v>
      </c>
      <c r="K107" s="106" t="s">
        <v>34</v>
      </c>
      <c r="L107" s="8">
        <f>+E107*G107</f>
        <v>1709.1907200000005</v>
      </c>
      <c r="M107" s="37" t="s">
        <v>53</v>
      </c>
      <c r="N107" s="113"/>
      <c r="O107" s="113"/>
      <c r="P107" s="113"/>
      <c r="Q107" s="113"/>
      <c r="R107" s="113"/>
      <c r="S107" s="113"/>
      <c r="T107" s="113"/>
      <c r="U107" s="113"/>
      <c r="V107" s="113"/>
      <c r="W107" s="113"/>
      <c r="X107" s="113"/>
      <c r="Y107" s="113"/>
      <c r="Z107" s="113"/>
      <c r="AA107" s="113"/>
      <c r="AB107" s="113"/>
    </row>
    <row r="108" spans="1:28" ht="14.25" x14ac:dyDescent="0.2">
      <c r="D108" s="4" t="s">
        <v>53</v>
      </c>
      <c r="G108" s="81"/>
      <c r="I108" s="106"/>
      <c r="J108" s="106"/>
      <c r="K108" s="106"/>
      <c r="L108" s="106"/>
      <c r="M108" s="37" t="s">
        <v>53</v>
      </c>
    </row>
    <row r="109" spans="1:28" s="4" customFormat="1" ht="12.75" x14ac:dyDescent="0.2">
      <c r="A109" s="106"/>
      <c r="C109" s="4" t="s">
        <v>102</v>
      </c>
      <c r="L109" s="8">
        <f>+L101+L103+L105+L107</f>
        <v>10412.271826560002</v>
      </c>
      <c r="M109" s="37"/>
      <c r="N109" s="113"/>
      <c r="O109" s="113"/>
      <c r="P109" s="113"/>
      <c r="Q109" s="113"/>
      <c r="R109" s="113"/>
      <c r="S109" s="113"/>
      <c r="T109" s="113"/>
      <c r="U109" s="113"/>
      <c r="V109" s="113"/>
      <c r="W109" s="113"/>
      <c r="X109" s="113"/>
      <c r="Y109" s="113"/>
      <c r="Z109" s="113"/>
      <c r="AA109" s="113"/>
      <c r="AB109" s="113"/>
    </row>
    <row r="110" spans="1:28" s="4" customFormat="1" ht="12.75" x14ac:dyDescent="0.2">
      <c r="A110" s="106"/>
      <c r="C110" s="11"/>
      <c r="D110" s="11"/>
      <c r="L110" s="13"/>
      <c r="M110" s="37"/>
      <c r="N110" s="113"/>
      <c r="O110" s="113"/>
      <c r="P110" s="113"/>
      <c r="Q110" s="113"/>
      <c r="R110" s="113"/>
      <c r="S110" s="113"/>
      <c r="T110" s="113"/>
      <c r="U110" s="113"/>
      <c r="V110" s="113"/>
      <c r="W110" s="113"/>
      <c r="X110" s="113"/>
      <c r="Y110" s="113"/>
      <c r="Z110" s="113"/>
      <c r="AA110" s="113"/>
      <c r="AB110" s="113"/>
    </row>
    <row r="111" spans="1:28" s="4" customFormat="1" ht="12.75" x14ac:dyDescent="0.2">
      <c r="A111" s="106"/>
      <c r="C111" s="4" t="s">
        <v>103</v>
      </c>
      <c r="D111" s="11"/>
      <c r="L111" s="13"/>
      <c r="M111" s="37"/>
      <c r="N111" s="113"/>
      <c r="O111" s="113"/>
      <c r="P111" s="113"/>
      <c r="Q111" s="113"/>
      <c r="R111" s="113"/>
      <c r="S111" s="113"/>
      <c r="T111" s="113"/>
      <c r="U111" s="113"/>
      <c r="V111" s="113"/>
      <c r="W111" s="113"/>
      <c r="X111" s="113"/>
      <c r="Y111" s="113"/>
      <c r="Z111" s="113"/>
      <c r="AA111" s="113"/>
      <c r="AB111" s="113"/>
    </row>
    <row r="112" spans="1:28" s="4" customFormat="1" ht="12.75" x14ac:dyDescent="0.2">
      <c r="A112" s="106"/>
      <c r="C112" s="11"/>
      <c r="D112" s="11"/>
      <c r="L112" s="13"/>
      <c r="M112" s="37"/>
      <c r="N112" s="113"/>
      <c r="O112" s="113"/>
      <c r="P112" s="113"/>
      <c r="Q112" s="113"/>
      <c r="R112" s="113"/>
      <c r="S112" s="113"/>
      <c r="T112" s="113"/>
      <c r="U112" s="113"/>
      <c r="V112" s="113"/>
      <c r="W112" s="113"/>
      <c r="X112" s="113"/>
      <c r="Y112" s="113"/>
      <c r="Z112" s="113"/>
      <c r="AA112" s="113"/>
      <c r="AB112" s="113"/>
    </row>
    <row r="113" spans="1:28" s="4" customFormat="1" ht="12.75" x14ac:dyDescent="0.2">
      <c r="A113" s="106"/>
      <c r="C113" s="4" t="s">
        <v>104</v>
      </c>
      <c r="D113" s="11"/>
      <c r="F113" s="4" t="s">
        <v>105</v>
      </c>
      <c r="H113" s="4" t="s">
        <v>259</v>
      </c>
      <c r="L113" s="12" t="s">
        <v>108</v>
      </c>
      <c r="M113" s="37"/>
      <c r="N113" s="113"/>
      <c r="O113" s="113"/>
      <c r="P113" s="113"/>
      <c r="Q113" s="113"/>
      <c r="R113" s="113"/>
      <c r="S113" s="113"/>
      <c r="T113" s="113"/>
      <c r="U113" s="113"/>
      <c r="V113" s="113"/>
      <c r="W113" s="113"/>
      <c r="X113" s="113"/>
      <c r="Y113" s="113"/>
      <c r="Z113" s="113"/>
      <c r="AA113" s="113"/>
      <c r="AB113" s="113"/>
    </row>
    <row r="114" spans="1:28" ht="14.25" x14ac:dyDescent="0.2">
      <c r="D114" s="4" t="s">
        <v>53</v>
      </c>
      <c r="G114" s="81"/>
      <c r="I114" s="106"/>
      <c r="J114" s="106"/>
      <c r="K114" s="106"/>
      <c r="L114" s="106"/>
      <c r="M114" s="37" t="s">
        <v>53</v>
      </c>
    </row>
    <row r="115" spans="1:28" s="4" customFormat="1" ht="12.75" x14ac:dyDescent="0.2">
      <c r="A115" s="106"/>
      <c r="C115" s="4" t="s">
        <v>106</v>
      </c>
      <c r="D115" s="11"/>
      <c r="F115" s="8">
        <f>+L97</f>
        <v>10412.271826560002</v>
      </c>
      <c r="G115" s="107" t="s">
        <v>110</v>
      </c>
      <c r="H115" s="24">
        <f>+E339+F339</f>
        <v>5</v>
      </c>
      <c r="J115" s="106" t="s">
        <v>53</v>
      </c>
      <c r="K115" s="106" t="s">
        <v>107</v>
      </c>
      <c r="L115" s="8">
        <f>+(F115*H115)</f>
        <v>52061.359132800004</v>
      </c>
      <c r="M115" s="37"/>
      <c r="N115" s="113"/>
      <c r="O115" s="113"/>
      <c r="P115" s="113"/>
      <c r="Q115" s="113"/>
      <c r="R115" s="113"/>
      <c r="S115" s="113"/>
      <c r="T115" s="113"/>
      <c r="U115" s="113"/>
      <c r="V115" s="113"/>
      <c r="W115" s="113"/>
      <c r="X115" s="113"/>
      <c r="Y115" s="113"/>
      <c r="Z115" s="113"/>
      <c r="AA115" s="113"/>
      <c r="AB115" s="113"/>
    </row>
    <row r="116" spans="1:28" ht="14.25" x14ac:dyDescent="0.2">
      <c r="D116" s="4" t="s">
        <v>53</v>
      </c>
      <c r="G116" s="81"/>
      <c r="I116" s="106"/>
      <c r="J116" s="106"/>
      <c r="K116" s="106"/>
      <c r="L116" s="106"/>
      <c r="M116" s="37" t="s">
        <v>53</v>
      </c>
    </row>
    <row r="117" spans="1:28" s="4" customFormat="1" ht="12.75" x14ac:dyDescent="0.2">
      <c r="A117" s="106"/>
      <c r="C117" s="4" t="s">
        <v>109</v>
      </c>
      <c r="D117" s="11"/>
      <c r="F117" s="8">
        <f>L109</f>
        <v>10412.271826560002</v>
      </c>
      <c r="G117" s="107" t="s">
        <v>111</v>
      </c>
      <c r="H117" s="24">
        <f>+D339</f>
        <v>3</v>
      </c>
      <c r="J117" s="106" t="s">
        <v>53</v>
      </c>
      <c r="K117" s="106" t="s">
        <v>107</v>
      </c>
      <c r="L117" s="8">
        <f>+(F117*H117)</f>
        <v>31236.815479680005</v>
      </c>
      <c r="M117" s="37"/>
      <c r="N117" s="113"/>
      <c r="O117" s="113"/>
      <c r="P117" s="113"/>
      <c r="Q117" s="113"/>
      <c r="R117" s="113"/>
      <c r="S117" s="113"/>
      <c r="T117" s="113"/>
      <c r="U117" s="113"/>
      <c r="V117" s="113"/>
      <c r="W117" s="113"/>
      <c r="X117" s="113"/>
      <c r="Y117" s="113"/>
      <c r="Z117" s="113"/>
      <c r="AA117" s="113"/>
      <c r="AB117" s="113"/>
    </row>
    <row r="118" spans="1:28" ht="14.25" x14ac:dyDescent="0.2">
      <c r="D118" s="4" t="s">
        <v>53</v>
      </c>
      <c r="G118" s="81"/>
      <c r="I118" s="106"/>
      <c r="J118" s="106"/>
      <c r="K118" s="106"/>
      <c r="L118" s="106"/>
      <c r="M118" s="37" t="s">
        <v>53</v>
      </c>
    </row>
    <row r="119" spans="1:28" s="4" customFormat="1" ht="12.75" x14ac:dyDescent="0.2">
      <c r="A119" s="106"/>
      <c r="C119" s="4" t="s">
        <v>121</v>
      </c>
      <c r="D119" s="11"/>
      <c r="H119" s="77">
        <f>+H115+H117</f>
        <v>8</v>
      </c>
      <c r="I119" s="4" t="s">
        <v>112</v>
      </c>
      <c r="J119" s="106" t="s">
        <v>53</v>
      </c>
      <c r="K119" s="106" t="s">
        <v>53</v>
      </c>
      <c r="L119" s="8">
        <f>SUM(L111:L117)</f>
        <v>83298.174612480012</v>
      </c>
      <c r="M119" s="37" t="s">
        <v>209</v>
      </c>
      <c r="N119" s="113"/>
      <c r="O119" s="113"/>
      <c r="P119" s="113"/>
      <c r="Q119" s="113"/>
      <c r="R119" s="113"/>
      <c r="S119" s="113"/>
      <c r="T119" s="113"/>
      <c r="U119" s="113"/>
      <c r="V119" s="113"/>
      <c r="W119" s="113"/>
      <c r="X119" s="113"/>
      <c r="Y119" s="113"/>
      <c r="Z119" s="113"/>
      <c r="AA119" s="113"/>
      <c r="AB119" s="113"/>
    </row>
    <row r="120" spans="1:28" ht="14.25" x14ac:dyDescent="0.2">
      <c r="D120" s="4" t="s">
        <v>53</v>
      </c>
      <c r="G120" s="81"/>
      <c r="I120" s="106"/>
      <c r="J120" s="106"/>
      <c r="K120" s="106"/>
      <c r="L120" s="106"/>
      <c r="M120" s="37" t="s">
        <v>53</v>
      </c>
    </row>
    <row r="121" spans="1:28" s="4" customFormat="1" ht="12.75" x14ac:dyDescent="0.2">
      <c r="A121" s="106"/>
      <c r="C121" s="4" t="s">
        <v>214</v>
      </c>
      <c r="D121" s="11"/>
      <c r="J121" s="106" t="s">
        <v>53</v>
      </c>
      <c r="K121" s="106" t="s">
        <v>107</v>
      </c>
      <c r="L121" s="8">
        <f>(+H115*F115+H117*F117)/H119</f>
        <v>10412.271826560002</v>
      </c>
      <c r="M121" s="37" t="s">
        <v>210</v>
      </c>
      <c r="N121" s="113">
        <f>+L121*L339/D346</f>
        <v>2.8148978136746883</v>
      </c>
      <c r="O121" s="113"/>
      <c r="P121" s="113"/>
      <c r="Q121" s="113"/>
      <c r="R121" s="113"/>
      <c r="S121" s="113"/>
      <c r="T121" s="113"/>
      <c r="U121" s="113"/>
      <c r="V121" s="113"/>
      <c r="W121" s="113"/>
      <c r="X121" s="113"/>
      <c r="Y121" s="113"/>
      <c r="Z121" s="113"/>
      <c r="AA121" s="113"/>
      <c r="AB121" s="113"/>
    </row>
    <row r="122" spans="1:28" s="4" customFormat="1" ht="12.75" x14ac:dyDescent="0.2">
      <c r="A122" s="106"/>
      <c r="C122" s="11"/>
      <c r="D122" s="11"/>
      <c r="L122" s="13"/>
      <c r="M122" s="37"/>
      <c r="N122" s="113"/>
      <c r="O122" s="113"/>
      <c r="P122" s="113"/>
      <c r="Q122" s="113"/>
      <c r="R122" s="113"/>
      <c r="S122" s="113"/>
      <c r="T122" s="113"/>
      <c r="U122" s="113"/>
      <c r="V122" s="113"/>
      <c r="W122" s="113"/>
      <c r="X122" s="113"/>
      <c r="Y122" s="113"/>
      <c r="Z122" s="113"/>
      <c r="AA122" s="113"/>
      <c r="AB122" s="113"/>
    </row>
    <row r="123" spans="1:28" s="4" customFormat="1" ht="12.75" x14ac:dyDescent="0.2">
      <c r="A123" s="106"/>
      <c r="C123" s="11"/>
      <c r="D123" s="11"/>
      <c r="G123" s="106" t="s">
        <v>114</v>
      </c>
      <c r="I123" s="4" t="s">
        <v>115</v>
      </c>
      <c r="L123" s="106" t="s">
        <v>93</v>
      </c>
      <c r="M123" s="37"/>
      <c r="N123" s="113"/>
      <c r="O123" s="113"/>
      <c r="P123" s="113"/>
      <c r="Q123" s="113"/>
      <c r="R123" s="113"/>
      <c r="S123" s="113"/>
      <c r="T123" s="113"/>
      <c r="U123" s="113"/>
      <c r="V123" s="113"/>
      <c r="W123" s="113"/>
      <c r="X123" s="113"/>
      <c r="Y123" s="113"/>
      <c r="Z123" s="113"/>
      <c r="AA123" s="113"/>
      <c r="AB123" s="113"/>
    </row>
    <row r="124" spans="1:28" ht="14.25" x14ac:dyDescent="0.2">
      <c r="D124" s="4" t="s">
        <v>53</v>
      </c>
      <c r="G124" s="81"/>
      <c r="H124" s="121" t="s">
        <v>278</v>
      </c>
      <c r="I124" s="106"/>
      <c r="J124" s="106"/>
      <c r="K124" s="106"/>
      <c r="L124" s="106"/>
      <c r="M124" s="37" t="s">
        <v>53</v>
      </c>
    </row>
    <row r="125" spans="1:28" s="4" customFormat="1" ht="12.75" x14ac:dyDescent="0.2">
      <c r="A125" s="106"/>
      <c r="C125" s="4" t="s">
        <v>116</v>
      </c>
      <c r="D125" s="11"/>
      <c r="F125" s="109"/>
      <c r="G125" s="56">
        <f>+'INDICES '!D34</f>
        <v>0.08</v>
      </c>
      <c r="H125" s="133">
        <f>+G125*(H89+H93+H101+H105)</f>
        <v>1.5360000000000003</v>
      </c>
      <c r="I125" s="8">
        <f>+L121</f>
        <v>10412.271826560002</v>
      </c>
      <c r="J125" s="14" t="s">
        <v>113</v>
      </c>
      <c r="K125" s="106" t="s">
        <v>107</v>
      </c>
      <c r="L125" s="8">
        <f>+I125*G125</f>
        <v>832.98174612480011</v>
      </c>
      <c r="M125" s="37"/>
      <c r="N125" s="113"/>
      <c r="O125" s="113"/>
      <c r="P125" s="113"/>
      <c r="Q125" s="113"/>
      <c r="R125" s="113"/>
      <c r="S125" s="113"/>
      <c r="T125" s="113"/>
      <c r="U125" s="113"/>
      <c r="V125" s="113"/>
      <c r="W125" s="113"/>
      <c r="X125" s="113"/>
      <c r="Y125" s="113"/>
      <c r="Z125" s="113"/>
      <c r="AA125" s="113"/>
      <c r="AB125" s="113"/>
    </row>
    <row r="126" spans="1:28" ht="14.25" x14ac:dyDescent="0.2">
      <c r="D126" s="4" t="s">
        <v>53</v>
      </c>
      <c r="G126" s="95"/>
      <c r="H126" s="133"/>
      <c r="I126" s="106"/>
      <c r="J126" s="106"/>
      <c r="K126" s="106"/>
      <c r="L126" s="106"/>
      <c r="M126" s="37" t="s">
        <v>53</v>
      </c>
    </row>
    <row r="127" spans="1:28" s="4" customFormat="1" ht="12.75" x14ac:dyDescent="0.2">
      <c r="A127" s="106"/>
      <c r="C127" s="4" t="s">
        <v>117</v>
      </c>
      <c r="D127" s="11"/>
      <c r="F127" s="109"/>
      <c r="G127" s="56">
        <f>+'INDICES '!D35</f>
        <v>0.12</v>
      </c>
      <c r="H127" s="133">
        <f>+G127*(H89+H93+H101+H105)</f>
        <v>2.3040000000000003</v>
      </c>
      <c r="I127" s="8">
        <f>+L121</f>
        <v>10412.271826560002</v>
      </c>
      <c r="J127" s="14" t="s">
        <v>113</v>
      </c>
      <c r="K127" s="106" t="s">
        <v>107</v>
      </c>
      <c r="L127" s="8">
        <f>+I127*G127</f>
        <v>1249.4726191872001</v>
      </c>
      <c r="M127" s="37"/>
      <c r="N127" s="113"/>
      <c r="O127" s="113"/>
      <c r="P127" s="113"/>
      <c r="Q127" s="113"/>
      <c r="R127" s="113"/>
      <c r="S127" s="113"/>
      <c r="T127" s="113"/>
      <c r="U127" s="113"/>
      <c r="V127" s="113"/>
      <c r="W127" s="113"/>
      <c r="X127" s="113"/>
      <c r="Y127" s="113"/>
      <c r="Z127" s="113"/>
      <c r="AA127" s="113"/>
      <c r="AB127" s="113"/>
    </row>
    <row r="128" spans="1:28" ht="14.25" x14ac:dyDescent="0.2">
      <c r="D128" s="4" t="s">
        <v>53</v>
      </c>
      <c r="G128" s="81"/>
      <c r="I128" s="106"/>
      <c r="J128" s="106"/>
      <c r="K128" s="106"/>
      <c r="L128" s="106"/>
      <c r="M128" s="37" t="s">
        <v>53</v>
      </c>
    </row>
    <row r="129" spans="1:28" s="4" customFormat="1" ht="12.75" x14ac:dyDescent="0.2">
      <c r="A129" s="106"/>
      <c r="C129" s="4" t="s">
        <v>118</v>
      </c>
      <c r="D129" s="11"/>
      <c r="K129" s="4" t="s">
        <v>53</v>
      </c>
      <c r="L129" s="145">
        <f>0.5*1320</f>
        <v>660</v>
      </c>
      <c r="M129" s="37" t="s">
        <v>53</v>
      </c>
      <c r="N129" s="113"/>
      <c r="O129" s="113"/>
      <c r="P129" s="113"/>
      <c r="Q129" s="113"/>
      <c r="R129" s="113"/>
      <c r="S129" s="113"/>
      <c r="T129" s="113"/>
      <c r="U129" s="113"/>
      <c r="V129" s="113"/>
      <c r="W129" s="113"/>
      <c r="X129" s="113"/>
      <c r="Y129" s="113"/>
      <c r="Z129" s="113"/>
      <c r="AA129" s="113"/>
      <c r="AB129" s="113"/>
    </row>
    <row r="130" spans="1:28" ht="14.25" x14ac:dyDescent="0.2">
      <c r="D130" s="4" t="s">
        <v>53</v>
      </c>
      <c r="G130" s="81"/>
      <c r="I130" s="106"/>
      <c r="J130" s="106"/>
      <c r="K130" s="106"/>
      <c r="L130" s="106"/>
      <c r="M130" s="37" t="s">
        <v>53</v>
      </c>
    </row>
    <row r="131" spans="1:28" s="4" customFormat="1" ht="12.75" x14ac:dyDescent="0.2">
      <c r="A131" s="106"/>
      <c r="C131" s="4" t="s">
        <v>119</v>
      </c>
      <c r="D131" s="11"/>
      <c r="K131" s="107" t="s">
        <v>120</v>
      </c>
      <c r="L131" s="8">
        <f>+L121+L125+L127+L129</f>
        <v>13154.726191872001</v>
      </c>
      <c r="M131" s="37"/>
      <c r="N131" s="113"/>
      <c r="O131" s="113"/>
      <c r="P131" s="113"/>
      <c r="Q131" s="113"/>
      <c r="R131" s="113"/>
      <c r="S131" s="113"/>
      <c r="T131" s="113"/>
      <c r="U131" s="113"/>
      <c r="V131" s="113"/>
      <c r="W131" s="113"/>
      <c r="X131" s="113"/>
      <c r="Y131" s="113"/>
      <c r="Z131" s="113"/>
      <c r="AA131" s="113"/>
      <c r="AB131" s="113"/>
    </row>
    <row r="132" spans="1:28" s="4" customFormat="1" ht="12.75" x14ac:dyDescent="0.2">
      <c r="A132" s="106"/>
      <c r="C132" s="11"/>
      <c r="D132" s="11"/>
      <c r="L132" s="13"/>
      <c r="M132" s="37"/>
      <c r="N132" s="113"/>
      <c r="O132" s="113"/>
      <c r="P132" s="113"/>
      <c r="Q132" s="113"/>
      <c r="R132" s="113"/>
      <c r="S132" s="113"/>
      <c r="T132" s="113"/>
      <c r="U132" s="113"/>
      <c r="V132" s="113"/>
      <c r="W132" s="113"/>
      <c r="X132" s="113"/>
      <c r="Y132" s="113"/>
      <c r="Z132" s="113"/>
      <c r="AA132" s="113"/>
      <c r="AB132" s="113"/>
    </row>
    <row r="133" spans="1:28" s="4" customFormat="1" ht="12.75" x14ac:dyDescent="0.2">
      <c r="A133" s="106"/>
      <c r="B133" s="4" t="s">
        <v>18</v>
      </c>
      <c r="C133" s="4" t="s">
        <v>19</v>
      </c>
      <c r="M133" s="37"/>
      <c r="N133" s="113"/>
      <c r="O133" s="113"/>
      <c r="P133" s="113"/>
      <c r="Q133" s="113"/>
      <c r="R133" s="113"/>
      <c r="S133" s="113"/>
      <c r="T133" s="113"/>
      <c r="U133" s="113"/>
      <c r="V133" s="113"/>
      <c r="W133" s="113"/>
      <c r="X133" s="113"/>
      <c r="Y133" s="113"/>
      <c r="Z133" s="113"/>
      <c r="AA133" s="113"/>
      <c r="AB133" s="113"/>
    </row>
    <row r="134" spans="1:28" s="4" customFormat="1" ht="12.75" x14ac:dyDescent="0.2">
      <c r="A134" s="106"/>
      <c r="G134" s="106"/>
      <c r="I134" s="106"/>
      <c r="J134" s="106"/>
      <c r="K134" s="106"/>
      <c r="L134" s="106"/>
      <c r="M134" s="37"/>
      <c r="N134" s="113"/>
      <c r="O134" s="113"/>
      <c r="P134" s="113"/>
      <c r="Q134" s="113"/>
      <c r="R134" s="113"/>
      <c r="S134" s="113"/>
      <c r="T134" s="113"/>
      <c r="U134" s="113"/>
      <c r="V134" s="113"/>
      <c r="W134" s="113"/>
      <c r="X134" s="113"/>
      <c r="Y134" s="113"/>
      <c r="Z134" s="113"/>
      <c r="AA134" s="113"/>
      <c r="AB134" s="113"/>
    </row>
    <row r="135" spans="1:28" ht="12.75" x14ac:dyDescent="0.2">
      <c r="C135" s="4" t="s">
        <v>20</v>
      </c>
    </row>
    <row r="136" spans="1:28" ht="14.25" x14ac:dyDescent="0.2">
      <c r="D136" s="4" t="s">
        <v>53</v>
      </c>
      <c r="G136" s="63"/>
      <c r="I136" s="106"/>
      <c r="J136" s="106"/>
      <c r="K136" s="106"/>
      <c r="L136" s="106"/>
      <c r="M136" s="37" t="s">
        <v>53</v>
      </c>
    </row>
    <row r="137" spans="1:28" ht="12.75" x14ac:dyDescent="0.2">
      <c r="C137" s="11" t="s">
        <v>122</v>
      </c>
      <c r="D137" s="11"/>
      <c r="E137" s="100">
        <v>10</v>
      </c>
      <c r="F137" s="4" t="s">
        <v>21</v>
      </c>
      <c r="G137" s="106" t="s">
        <v>22</v>
      </c>
      <c r="H137" s="112">
        <v>0.2</v>
      </c>
      <c r="I137" s="4" t="s">
        <v>23</v>
      </c>
    </row>
    <row r="138" spans="1:28" ht="14.25" x14ac:dyDescent="0.2">
      <c r="D138" s="4" t="s">
        <v>53</v>
      </c>
      <c r="E138" s="105"/>
      <c r="G138" s="63"/>
      <c r="H138" s="105"/>
      <c r="I138" s="106"/>
      <c r="J138" s="106"/>
      <c r="K138" s="106"/>
      <c r="L138" s="106"/>
      <c r="M138" s="37" t="s">
        <v>53</v>
      </c>
    </row>
    <row r="139" spans="1:28" ht="12.75" x14ac:dyDescent="0.2">
      <c r="C139" s="11" t="s">
        <v>65</v>
      </c>
      <c r="D139" s="11"/>
      <c r="E139" s="100">
        <v>10</v>
      </c>
      <c r="F139" s="4" t="s">
        <v>21</v>
      </c>
      <c r="G139" s="106" t="s">
        <v>22</v>
      </c>
      <c r="H139" s="112">
        <v>0.2</v>
      </c>
      <c r="I139" s="4" t="s">
        <v>23</v>
      </c>
    </row>
    <row r="140" spans="1:28" ht="14.25" x14ac:dyDescent="0.2">
      <c r="D140" s="4" t="s">
        <v>53</v>
      </c>
      <c r="E140" s="105"/>
      <c r="G140" s="63"/>
      <c r="H140" s="105"/>
      <c r="I140" s="106"/>
      <c r="J140" s="106"/>
      <c r="K140" s="106"/>
      <c r="L140" s="106"/>
      <c r="M140" s="37" t="s">
        <v>53</v>
      </c>
    </row>
    <row r="141" spans="1:28" ht="12.75" x14ac:dyDescent="0.2">
      <c r="C141" s="11" t="s">
        <v>66</v>
      </c>
      <c r="D141" s="11"/>
      <c r="E141" s="100">
        <v>10</v>
      </c>
      <c r="F141" s="4" t="s">
        <v>21</v>
      </c>
      <c r="G141" s="106" t="s">
        <v>22</v>
      </c>
      <c r="H141" s="112">
        <v>0.2</v>
      </c>
      <c r="I141" s="4" t="s">
        <v>23</v>
      </c>
    </row>
    <row r="142" spans="1:28" ht="14.25" x14ac:dyDescent="0.2">
      <c r="D142" s="4" t="s">
        <v>53</v>
      </c>
      <c r="G142" s="63"/>
      <c r="H142" s="105"/>
      <c r="I142" s="106"/>
      <c r="J142" s="106"/>
      <c r="K142" s="106"/>
      <c r="L142" s="106"/>
      <c r="M142" s="37" t="s">
        <v>53</v>
      </c>
    </row>
    <row r="143" spans="1:28" ht="12.75" x14ac:dyDescent="0.2">
      <c r="C143" s="4" t="s">
        <v>2</v>
      </c>
      <c r="G143" s="4"/>
      <c r="H143" s="112">
        <v>0.2</v>
      </c>
      <c r="I143" s="4" t="s">
        <v>24</v>
      </c>
    </row>
    <row r="144" spans="1:28" ht="12.75" x14ac:dyDescent="0.2">
      <c r="G144" s="4"/>
    </row>
    <row r="145" spans="1:28" ht="12.75" x14ac:dyDescent="0.2">
      <c r="C145" s="4" t="s">
        <v>292</v>
      </c>
      <c r="G145" s="4"/>
    </row>
    <row r="146" spans="1:28" ht="12.75" x14ac:dyDescent="0.2">
      <c r="C146" s="20"/>
      <c r="D146" s="20"/>
      <c r="E146" s="106"/>
      <c r="F146" s="106"/>
      <c r="G146" s="9"/>
      <c r="I146" s="106"/>
      <c r="J146" s="17"/>
      <c r="K146" s="17"/>
      <c r="L146" s="9"/>
    </row>
    <row r="147" spans="1:28" s="4" customFormat="1" ht="12.75" x14ac:dyDescent="0.2">
      <c r="A147" s="106"/>
      <c r="C147" s="15" t="s">
        <v>123</v>
      </c>
      <c r="D147" s="15"/>
      <c r="E147" s="16">
        <v>557665.06000000006</v>
      </c>
      <c r="F147" s="106"/>
      <c r="G147" s="9"/>
      <c r="J147" s="58" t="s">
        <v>124</v>
      </c>
      <c r="K147" s="58"/>
      <c r="L147" s="16">
        <f>E147-(I27*6)</f>
        <v>542800</v>
      </c>
      <c r="M147" s="38"/>
      <c r="N147" s="120"/>
      <c r="O147" s="120"/>
      <c r="P147" s="120"/>
      <c r="Q147" s="120"/>
      <c r="R147" s="113"/>
      <c r="S147" s="113"/>
      <c r="T147" s="113"/>
      <c r="U147" s="113"/>
      <c r="V147" s="113"/>
      <c r="W147" s="113"/>
      <c r="X147" s="113"/>
      <c r="Y147" s="113"/>
      <c r="Z147" s="113"/>
      <c r="AA147" s="113"/>
      <c r="AB147" s="113"/>
    </row>
    <row r="148" spans="1:28" ht="14.25" x14ac:dyDescent="0.2">
      <c r="D148" s="4" t="s">
        <v>53</v>
      </c>
      <c r="G148" s="63"/>
      <c r="I148" s="106"/>
      <c r="J148" s="106"/>
      <c r="K148" s="106"/>
      <c r="L148" s="106"/>
      <c r="M148" s="37" t="s">
        <v>53</v>
      </c>
    </row>
    <row r="149" spans="1:28" s="4" customFormat="1" ht="12.75" x14ac:dyDescent="0.2">
      <c r="A149" s="106"/>
      <c r="B149" s="167" t="s">
        <v>29</v>
      </c>
      <c r="C149" s="169" t="s">
        <v>37</v>
      </c>
      <c r="D149" s="169" t="s">
        <v>30</v>
      </c>
      <c r="E149" s="171" t="s">
        <v>26</v>
      </c>
      <c r="F149" s="172"/>
      <c r="G149" s="173"/>
      <c r="H149" s="174" t="s">
        <v>28</v>
      </c>
      <c r="I149" s="175"/>
      <c r="J149" s="175"/>
      <c r="K149" s="175"/>
      <c r="L149" s="167" t="s">
        <v>39</v>
      </c>
      <c r="M149" s="37"/>
      <c r="N149" s="113"/>
      <c r="O149" s="113"/>
      <c r="P149" s="113"/>
      <c r="Q149" s="113"/>
      <c r="R149" s="113"/>
      <c r="S149" s="113"/>
      <c r="T149" s="113"/>
      <c r="U149" s="113"/>
      <c r="V149" s="113"/>
      <c r="W149" s="113"/>
      <c r="X149" s="113"/>
      <c r="Y149" s="113"/>
      <c r="Z149" s="113"/>
      <c r="AA149" s="113"/>
      <c r="AB149" s="113"/>
    </row>
    <row r="150" spans="1:28" s="4" customFormat="1" ht="12.75" x14ac:dyDescent="0.2">
      <c r="A150" s="106"/>
      <c r="B150" s="168"/>
      <c r="C150" s="170"/>
      <c r="D150" s="170"/>
      <c r="E150" s="180" t="s">
        <v>25</v>
      </c>
      <c r="F150" s="180" t="s">
        <v>27</v>
      </c>
      <c r="G150" s="187" t="s">
        <v>31</v>
      </c>
      <c r="H150" s="180" t="s">
        <v>265</v>
      </c>
      <c r="I150" s="180" t="s">
        <v>38</v>
      </c>
      <c r="J150" s="189" t="s">
        <v>31</v>
      </c>
      <c r="K150" s="190"/>
      <c r="L150" s="168"/>
      <c r="M150" s="37"/>
      <c r="N150" s="113"/>
      <c r="O150" s="113"/>
      <c r="P150" s="113"/>
      <c r="Q150" s="113"/>
      <c r="R150" s="113"/>
      <c r="S150" s="113"/>
      <c r="T150" s="113"/>
      <c r="U150" s="113"/>
      <c r="V150" s="113"/>
      <c r="W150" s="113"/>
      <c r="X150" s="113"/>
      <c r="Y150" s="113"/>
      <c r="Z150" s="113"/>
      <c r="AA150" s="113"/>
      <c r="AB150" s="113"/>
    </row>
    <row r="151" spans="1:28" s="4" customFormat="1" ht="12.75" x14ac:dyDescent="0.2">
      <c r="A151" s="106"/>
      <c r="B151" s="108" t="s">
        <v>263</v>
      </c>
      <c r="C151" s="170"/>
      <c r="D151" s="170"/>
      <c r="E151" s="181"/>
      <c r="F151" s="181"/>
      <c r="G151" s="188"/>
      <c r="H151" s="181"/>
      <c r="I151" s="181"/>
      <c r="J151" s="191"/>
      <c r="K151" s="192"/>
      <c r="L151" s="168"/>
      <c r="M151" s="37"/>
      <c r="N151" s="113"/>
      <c r="O151" s="113"/>
      <c r="P151" s="113"/>
      <c r="Q151" s="113"/>
      <c r="R151" s="113"/>
      <c r="S151" s="113"/>
      <c r="T151" s="113"/>
      <c r="U151" s="113"/>
      <c r="V151" s="113"/>
      <c r="W151" s="113"/>
      <c r="X151" s="113"/>
      <c r="Y151" s="113"/>
      <c r="Z151" s="113"/>
      <c r="AA151" s="113"/>
      <c r="AB151" s="113"/>
    </row>
    <row r="152" spans="1:28" s="4" customFormat="1" ht="12.75" x14ac:dyDescent="0.2">
      <c r="A152" s="106"/>
      <c r="B152" s="64" t="s">
        <v>264</v>
      </c>
      <c r="C152" s="86">
        <v>1</v>
      </c>
      <c r="D152" s="86">
        <v>3</v>
      </c>
      <c r="E152" s="65">
        <v>4</v>
      </c>
      <c r="F152" s="65">
        <v>5</v>
      </c>
      <c r="G152" s="65">
        <v>6</v>
      </c>
      <c r="H152" s="65">
        <v>7</v>
      </c>
      <c r="I152" s="65">
        <v>8</v>
      </c>
      <c r="J152" s="176">
        <v>9</v>
      </c>
      <c r="K152" s="177"/>
      <c r="L152" s="64">
        <v>10</v>
      </c>
      <c r="M152" s="38"/>
      <c r="N152" s="113"/>
      <c r="O152" s="113"/>
      <c r="P152" s="113"/>
      <c r="Q152" s="113"/>
      <c r="R152" s="113"/>
      <c r="S152" s="113"/>
      <c r="T152" s="113"/>
      <c r="U152" s="113"/>
      <c r="V152" s="113"/>
      <c r="W152" s="113"/>
      <c r="X152" s="113"/>
      <c r="Y152" s="113"/>
      <c r="Z152" s="113"/>
      <c r="AA152" s="113"/>
      <c r="AB152" s="113"/>
    </row>
    <row r="153" spans="1:28" ht="12.75" x14ac:dyDescent="0.2">
      <c r="B153" s="22" t="s">
        <v>126</v>
      </c>
      <c r="C153" s="23">
        <v>0</v>
      </c>
      <c r="D153" s="66">
        <f>IF(C153=0,0,(C153/$C$164))</f>
        <v>0</v>
      </c>
      <c r="E153" s="97">
        <v>0.2</v>
      </c>
      <c r="F153" s="67">
        <f t="shared" ref="F153:F163" si="0">+D153*E153</f>
        <v>0</v>
      </c>
      <c r="G153" s="68">
        <f>+(F153*$L$147)/12</f>
        <v>0</v>
      </c>
      <c r="H153" s="98">
        <v>0.2</v>
      </c>
      <c r="I153" s="69">
        <f t="shared" ref="I153:I163" si="1">+H153*D153</f>
        <v>0</v>
      </c>
      <c r="J153" s="178">
        <f>+I153*$E$147</f>
        <v>0</v>
      </c>
      <c r="K153" s="178"/>
      <c r="L153" s="70">
        <f t="shared" ref="L153:L163" si="2">IF(J153="","",J153*((1+$H$143)^0.0833-1))</f>
        <v>0</v>
      </c>
      <c r="M153" s="37" t="s">
        <v>53</v>
      </c>
      <c r="N153" s="126"/>
      <c r="O153" s="126"/>
      <c r="P153" s="126"/>
      <c r="Q153" s="126"/>
      <c r="R153" s="115"/>
      <c r="S153" s="116"/>
      <c r="T153" s="126"/>
      <c r="U153" s="139"/>
      <c r="V153" s="116"/>
      <c r="W153" s="116"/>
      <c r="X153" s="116"/>
    </row>
    <row r="154" spans="1:28" ht="12.75" x14ac:dyDescent="0.2">
      <c r="B154" s="71" t="s">
        <v>125</v>
      </c>
      <c r="C154" s="23">
        <v>0</v>
      </c>
      <c r="D154" s="66">
        <f t="shared" ref="D154:D163" si="3">IF(C154=0,0,(C154/$C$164))</f>
        <v>0</v>
      </c>
      <c r="E154" s="97">
        <v>0.171429</v>
      </c>
      <c r="F154" s="67">
        <f t="shared" si="0"/>
        <v>0</v>
      </c>
      <c r="G154" s="68">
        <f t="shared" ref="G154:G163" si="4">+(F154*$L$147)/12</f>
        <v>0</v>
      </c>
      <c r="H154" s="99">
        <v>0.37142900000000001</v>
      </c>
      <c r="I154" s="72">
        <f t="shared" si="1"/>
        <v>0</v>
      </c>
      <c r="J154" s="183">
        <f t="shared" ref="J154:J163" si="5">+I154*$E$147</f>
        <v>0</v>
      </c>
      <c r="K154" s="184"/>
      <c r="L154" s="70">
        <f t="shared" si="2"/>
        <v>0</v>
      </c>
      <c r="M154" s="39" t="s">
        <v>53</v>
      </c>
      <c r="U154" s="140"/>
    </row>
    <row r="155" spans="1:28" ht="12.75" x14ac:dyDescent="0.2">
      <c r="B155" s="71" t="s">
        <v>127</v>
      </c>
      <c r="C155" s="23">
        <v>0</v>
      </c>
      <c r="D155" s="66">
        <f t="shared" si="3"/>
        <v>0</v>
      </c>
      <c r="E155" s="97">
        <v>0.14285700000000001</v>
      </c>
      <c r="F155" s="67">
        <f t="shared" si="0"/>
        <v>0</v>
      </c>
      <c r="G155" s="68">
        <f t="shared" si="4"/>
        <v>0</v>
      </c>
      <c r="H155" s="99">
        <v>0.51428600000000002</v>
      </c>
      <c r="I155" s="72">
        <f t="shared" si="1"/>
        <v>0</v>
      </c>
      <c r="J155" s="183">
        <f t="shared" si="5"/>
        <v>0</v>
      </c>
      <c r="K155" s="184"/>
      <c r="L155" s="70">
        <f t="shared" si="2"/>
        <v>0</v>
      </c>
      <c r="M155" s="40" t="s">
        <v>53</v>
      </c>
      <c r="U155" s="140"/>
    </row>
    <row r="156" spans="1:28" ht="12.75" x14ac:dyDescent="0.2">
      <c r="B156" s="71" t="s">
        <v>128</v>
      </c>
      <c r="C156" s="23">
        <v>0</v>
      </c>
      <c r="D156" s="66">
        <f t="shared" si="3"/>
        <v>0</v>
      </c>
      <c r="E156" s="97">
        <v>0.1142886</v>
      </c>
      <c r="F156" s="67">
        <f t="shared" si="0"/>
        <v>0</v>
      </c>
      <c r="G156" s="68">
        <f t="shared" si="4"/>
        <v>0</v>
      </c>
      <c r="H156" s="99">
        <v>0.62857099999999999</v>
      </c>
      <c r="I156" s="72">
        <f t="shared" si="1"/>
        <v>0</v>
      </c>
      <c r="J156" s="183">
        <f t="shared" si="5"/>
        <v>0</v>
      </c>
      <c r="K156" s="184"/>
      <c r="L156" s="70">
        <f t="shared" si="2"/>
        <v>0</v>
      </c>
      <c r="U156" s="140"/>
    </row>
    <row r="157" spans="1:28" ht="12.75" x14ac:dyDescent="0.2">
      <c r="B157" s="71" t="s">
        <v>129</v>
      </c>
      <c r="C157" s="23">
        <v>3</v>
      </c>
      <c r="D157" s="66">
        <f t="shared" si="3"/>
        <v>1</v>
      </c>
      <c r="E157" s="97">
        <v>8.5713999999999999E-2</v>
      </c>
      <c r="F157" s="67">
        <f t="shared" si="0"/>
        <v>8.5713999999999999E-2</v>
      </c>
      <c r="G157" s="68">
        <f t="shared" si="4"/>
        <v>3877.1299333333332</v>
      </c>
      <c r="H157" s="99">
        <v>0.71428599999999998</v>
      </c>
      <c r="I157" s="72">
        <f t="shared" si="1"/>
        <v>0.71428599999999998</v>
      </c>
      <c r="J157" s="183">
        <f t="shared" si="5"/>
        <v>398332.34504716005</v>
      </c>
      <c r="K157" s="184"/>
      <c r="L157" s="70">
        <f t="shared" si="2"/>
        <v>6095.7994124892266</v>
      </c>
      <c r="U157" s="140"/>
    </row>
    <row r="158" spans="1:28" ht="12.75" x14ac:dyDescent="0.2">
      <c r="B158" s="71" t="s">
        <v>130</v>
      </c>
      <c r="C158" s="23">
        <v>0</v>
      </c>
      <c r="D158" s="66">
        <f t="shared" si="3"/>
        <v>0</v>
      </c>
      <c r="E158" s="97">
        <v>5.7142999999999999E-2</v>
      </c>
      <c r="F158" s="67">
        <f t="shared" si="0"/>
        <v>0</v>
      </c>
      <c r="G158" s="68">
        <f t="shared" si="4"/>
        <v>0</v>
      </c>
      <c r="H158" s="99">
        <v>0.77142900000000003</v>
      </c>
      <c r="I158" s="72">
        <f t="shared" si="1"/>
        <v>0</v>
      </c>
      <c r="J158" s="183">
        <f t="shared" si="5"/>
        <v>0</v>
      </c>
      <c r="K158" s="184"/>
      <c r="L158" s="70">
        <f t="shared" si="2"/>
        <v>0</v>
      </c>
      <c r="M158" s="39"/>
      <c r="U158" s="140"/>
    </row>
    <row r="159" spans="1:28" ht="12.75" x14ac:dyDescent="0.2">
      <c r="B159" s="71" t="s">
        <v>131</v>
      </c>
      <c r="C159" s="23">
        <v>0</v>
      </c>
      <c r="D159" s="66">
        <f t="shared" si="3"/>
        <v>0</v>
      </c>
      <c r="E159" s="97">
        <v>2.8570999999999999E-2</v>
      </c>
      <c r="F159" s="67">
        <f t="shared" si="0"/>
        <v>0</v>
      </c>
      <c r="G159" s="68">
        <f t="shared" si="4"/>
        <v>0</v>
      </c>
      <c r="H159" s="99">
        <v>0.8</v>
      </c>
      <c r="I159" s="72">
        <f t="shared" si="1"/>
        <v>0</v>
      </c>
      <c r="J159" s="183">
        <f t="shared" si="5"/>
        <v>0</v>
      </c>
      <c r="K159" s="184"/>
      <c r="L159" s="70">
        <f t="shared" si="2"/>
        <v>0</v>
      </c>
      <c r="U159" s="128"/>
    </row>
    <row r="160" spans="1:28" ht="12.75" x14ac:dyDescent="0.2">
      <c r="B160" s="71" t="s">
        <v>132</v>
      </c>
      <c r="C160" s="23">
        <v>0</v>
      </c>
      <c r="D160" s="66">
        <f t="shared" si="3"/>
        <v>0</v>
      </c>
      <c r="E160" s="7">
        <v>0</v>
      </c>
      <c r="F160" s="67">
        <f t="shared" si="0"/>
        <v>0</v>
      </c>
      <c r="G160" s="68">
        <f t="shared" si="4"/>
        <v>0</v>
      </c>
      <c r="H160" s="99">
        <v>0.8</v>
      </c>
      <c r="I160" s="72">
        <f t="shared" si="1"/>
        <v>0</v>
      </c>
      <c r="J160" s="183">
        <f t="shared" si="5"/>
        <v>0</v>
      </c>
      <c r="K160" s="184"/>
      <c r="L160" s="70">
        <f t="shared" si="2"/>
        <v>0</v>
      </c>
      <c r="U160" s="128"/>
    </row>
    <row r="161" spans="1:28" ht="12.75" x14ac:dyDescent="0.2">
      <c r="B161" s="71" t="s">
        <v>133</v>
      </c>
      <c r="C161" s="23">
        <v>0</v>
      </c>
      <c r="D161" s="66">
        <f t="shared" si="3"/>
        <v>0</v>
      </c>
      <c r="E161" s="7">
        <v>0</v>
      </c>
      <c r="F161" s="67">
        <f t="shared" si="0"/>
        <v>0</v>
      </c>
      <c r="G161" s="68">
        <f t="shared" si="4"/>
        <v>0</v>
      </c>
      <c r="H161" s="99">
        <v>0.8</v>
      </c>
      <c r="I161" s="72">
        <f t="shared" si="1"/>
        <v>0</v>
      </c>
      <c r="J161" s="183">
        <f t="shared" si="5"/>
        <v>0</v>
      </c>
      <c r="K161" s="184"/>
      <c r="L161" s="70">
        <f t="shared" si="2"/>
        <v>0</v>
      </c>
      <c r="U161" s="128"/>
    </row>
    <row r="162" spans="1:28" ht="12.75" x14ac:dyDescent="0.2">
      <c r="B162" s="71" t="s">
        <v>134</v>
      </c>
      <c r="C162" s="23">
        <v>0</v>
      </c>
      <c r="D162" s="66">
        <f t="shared" si="3"/>
        <v>0</v>
      </c>
      <c r="E162" s="7">
        <v>0</v>
      </c>
      <c r="F162" s="67">
        <f t="shared" si="0"/>
        <v>0</v>
      </c>
      <c r="G162" s="68">
        <f t="shared" si="4"/>
        <v>0</v>
      </c>
      <c r="H162" s="99">
        <v>0.8</v>
      </c>
      <c r="I162" s="72">
        <f t="shared" si="1"/>
        <v>0</v>
      </c>
      <c r="J162" s="183">
        <f t="shared" si="5"/>
        <v>0</v>
      </c>
      <c r="K162" s="184"/>
      <c r="L162" s="70">
        <f t="shared" si="2"/>
        <v>0</v>
      </c>
      <c r="U162" s="128"/>
    </row>
    <row r="163" spans="1:28" ht="12.75" x14ac:dyDescent="0.2">
      <c r="B163" s="71" t="s">
        <v>135</v>
      </c>
      <c r="C163" s="23">
        <v>0</v>
      </c>
      <c r="D163" s="66">
        <f t="shared" si="3"/>
        <v>0</v>
      </c>
      <c r="E163" s="67">
        <v>0</v>
      </c>
      <c r="F163" s="67">
        <f t="shared" si="0"/>
        <v>0</v>
      </c>
      <c r="G163" s="68">
        <f t="shared" si="4"/>
        <v>0</v>
      </c>
      <c r="H163" s="99">
        <v>0.8</v>
      </c>
      <c r="I163" s="72">
        <f t="shared" si="1"/>
        <v>0</v>
      </c>
      <c r="J163" s="185">
        <f t="shared" si="5"/>
        <v>0</v>
      </c>
      <c r="K163" s="186"/>
      <c r="L163" s="70">
        <f t="shared" si="2"/>
        <v>0</v>
      </c>
    </row>
    <row r="164" spans="1:28" ht="12.75" x14ac:dyDescent="0.2">
      <c r="B164" s="77" t="s">
        <v>0</v>
      </c>
      <c r="C164" s="24">
        <f>SUM(C153:C163)</f>
        <v>3</v>
      </c>
      <c r="D164" s="73">
        <f>SUM(D153:D163)</f>
        <v>1</v>
      </c>
      <c r="E164" s="50">
        <f>SUM(E153:E163)</f>
        <v>0.8000025999999999</v>
      </c>
      <c r="F164" s="50">
        <f>SUM(F153:F163)</f>
        <v>8.5713999999999999E-2</v>
      </c>
      <c r="G164" s="74">
        <f>SUM(G153:G163)</f>
        <v>3877.1299333333332</v>
      </c>
      <c r="H164" s="164"/>
      <c r="I164" s="165"/>
      <c r="J164" s="165"/>
      <c r="K164" s="166"/>
      <c r="L164" s="74">
        <f>SUM(L153:L163)</f>
        <v>6095.7994124892266</v>
      </c>
      <c r="T164" s="141"/>
    </row>
    <row r="165" spans="1:28" ht="14.25" x14ac:dyDescent="0.2">
      <c r="D165" s="4" t="s">
        <v>53</v>
      </c>
      <c r="G165" s="63"/>
      <c r="I165" s="106"/>
      <c r="J165" s="106"/>
      <c r="K165" s="106"/>
      <c r="L165" s="106"/>
      <c r="M165" s="37" t="s">
        <v>53</v>
      </c>
    </row>
    <row r="166" spans="1:28" s="4" customFormat="1" ht="12.75" x14ac:dyDescent="0.2">
      <c r="A166" s="106"/>
      <c r="B166" s="25" t="s">
        <v>205</v>
      </c>
      <c r="C166" s="20"/>
      <c r="D166" s="20"/>
      <c r="E166" s="106"/>
      <c r="F166" s="106"/>
      <c r="G166" s="9" t="s">
        <v>53</v>
      </c>
      <c r="I166" s="107"/>
      <c r="J166" s="17"/>
      <c r="K166" s="17"/>
      <c r="L166" s="9"/>
      <c r="M166" s="37"/>
      <c r="N166" s="113"/>
      <c r="O166" s="113"/>
      <c r="P166" s="113"/>
      <c r="Q166" s="113"/>
      <c r="R166" s="113"/>
      <c r="S166" s="113"/>
      <c r="T166" s="113"/>
      <c r="U166" s="113"/>
      <c r="V166" s="113"/>
      <c r="W166" s="113"/>
      <c r="X166" s="113"/>
      <c r="Y166" s="113"/>
      <c r="Z166" s="113"/>
      <c r="AA166" s="113"/>
      <c r="AB166" s="113"/>
    </row>
    <row r="167" spans="1:28" s="4" customFormat="1" ht="12.75" x14ac:dyDescent="0.2">
      <c r="A167" s="106"/>
      <c r="B167" s="14" t="s">
        <v>136</v>
      </c>
      <c r="C167" s="20"/>
      <c r="D167" s="20"/>
      <c r="E167" s="106"/>
      <c r="F167" s="106"/>
      <c r="G167" s="9"/>
      <c r="I167" s="107"/>
      <c r="J167" s="17"/>
      <c r="K167" s="17"/>
      <c r="L167" s="9"/>
      <c r="M167" s="37"/>
      <c r="N167" s="113"/>
      <c r="O167" s="113"/>
      <c r="P167" s="113"/>
      <c r="Q167" s="113"/>
      <c r="R167" s="113"/>
      <c r="S167" s="113"/>
      <c r="T167" s="113"/>
      <c r="U167" s="113"/>
      <c r="V167" s="113"/>
      <c r="W167" s="113"/>
      <c r="X167" s="113"/>
      <c r="Y167" s="113"/>
      <c r="Z167" s="113"/>
      <c r="AA167" s="113"/>
      <c r="AB167" s="113"/>
    </row>
    <row r="168" spans="1:28" s="4" customFormat="1" ht="12.75" x14ac:dyDescent="0.2">
      <c r="A168" s="106"/>
      <c r="B168" s="14" t="s">
        <v>137</v>
      </c>
      <c r="C168" s="20"/>
      <c r="D168" s="20"/>
      <c r="E168" s="106"/>
      <c r="F168" s="106"/>
      <c r="G168" s="9"/>
      <c r="I168" s="107"/>
      <c r="J168" s="17"/>
      <c r="K168" s="17"/>
      <c r="L168" s="9"/>
      <c r="M168" s="37"/>
      <c r="N168" s="113"/>
      <c r="O168" s="113"/>
      <c r="P168" s="113"/>
      <c r="Q168" s="113"/>
      <c r="R168" s="113"/>
      <c r="S168" s="113"/>
      <c r="T168" s="113"/>
      <c r="U168" s="113"/>
      <c r="V168" s="113"/>
      <c r="W168" s="113"/>
      <c r="X168" s="113"/>
      <c r="Y168" s="113"/>
      <c r="Z168" s="113"/>
      <c r="AA168" s="113"/>
      <c r="AB168" s="113"/>
    </row>
    <row r="169" spans="1:28" s="4" customFormat="1" ht="12.75" x14ac:dyDescent="0.2">
      <c r="A169" s="106"/>
      <c r="B169" s="14" t="s">
        <v>138</v>
      </c>
      <c r="C169" s="20"/>
      <c r="D169" s="20"/>
      <c r="E169" s="106"/>
      <c r="F169" s="106"/>
      <c r="G169" s="9"/>
      <c r="I169" s="107"/>
      <c r="J169" s="17"/>
      <c r="K169" s="17"/>
      <c r="L169" s="9"/>
      <c r="M169" s="37"/>
      <c r="N169" s="113"/>
      <c r="O169" s="113"/>
      <c r="P169" s="113"/>
      <c r="Q169" s="113"/>
      <c r="R169" s="113"/>
      <c r="S169" s="117"/>
      <c r="T169" s="113"/>
      <c r="U169" s="113"/>
      <c r="V169" s="113"/>
      <c r="W169" s="113"/>
      <c r="X169" s="113"/>
      <c r="Y169" s="113"/>
      <c r="Z169" s="113"/>
      <c r="AA169" s="113"/>
      <c r="AB169" s="113"/>
    </row>
    <row r="170" spans="1:28" s="4" customFormat="1" ht="12.75" x14ac:dyDescent="0.2">
      <c r="A170" s="106"/>
      <c r="B170" s="14" t="s">
        <v>139</v>
      </c>
      <c r="C170" s="20"/>
      <c r="D170" s="20"/>
      <c r="E170" s="106"/>
      <c r="F170" s="106"/>
      <c r="G170" s="9"/>
      <c r="I170" s="107"/>
      <c r="J170" s="17"/>
      <c r="K170" s="17"/>
      <c r="L170" s="9"/>
      <c r="M170" s="37"/>
      <c r="N170" s="113"/>
      <c r="O170" s="113"/>
      <c r="P170" s="113"/>
      <c r="Q170" s="113"/>
      <c r="R170" s="113"/>
      <c r="S170" s="117"/>
      <c r="T170" s="113"/>
      <c r="U170" s="113"/>
      <c r="V170" s="113"/>
      <c r="W170" s="113"/>
      <c r="X170" s="113"/>
      <c r="Y170" s="113"/>
      <c r="Z170" s="113"/>
      <c r="AA170" s="113"/>
      <c r="AB170" s="113"/>
    </row>
    <row r="171" spans="1:28" s="4" customFormat="1" ht="12.75" x14ac:dyDescent="0.2">
      <c r="A171" s="106"/>
      <c r="B171" s="14" t="s">
        <v>140</v>
      </c>
      <c r="C171" s="20"/>
      <c r="D171" s="20"/>
      <c r="E171" s="106"/>
      <c r="F171" s="106"/>
      <c r="G171" s="9"/>
      <c r="I171" s="107"/>
      <c r="J171" s="17"/>
      <c r="K171" s="17"/>
      <c r="L171" s="9"/>
      <c r="M171" s="37"/>
      <c r="N171" s="113"/>
      <c r="O171" s="113"/>
      <c r="P171" s="113"/>
      <c r="Q171" s="113"/>
      <c r="R171" s="113"/>
      <c r="S171" s="113"/>
      <c r="T171" s="113"/>
      <c r="U171" s="113"/>
      <c r="V171" s="113"/>
      <c r="W171" s="113"/>
      <c r="X171" s="113"/>
      <c r="Y171" s="113"/>
      <c r="Z171" s="113"/>
      <c r="AA171" s="113"/>
      <c r="AB171" s="113"/>
    </row>
    <row r="172" spans="1:28" s="4" customFormat="1" ht="12.75" x14ac:dyDescent="0.2">
      <c r="A172" s="106"/>
      <c r="B172" s="14" t="s">
        <v>141</v>
      </c>
      <c r="C172" s="20"/>
      <c r="D172" s="20"/>
      <c r="E172" s="106"/>
      <c r="F172" s="106"/>
      <c r="G172" s="9"/>
      <c r="I172" s="107"/>
      <c r="J172" s="17"/>
      <c r="K172" s="17"/>
      <c r="L172" s="9"/>
      <c r="M172" s="37"/>
      <c r="N172" s="113"/>
      <c r="O172" s="113"/>
      <c r="P172" s="113"/>
      <c r="Q172" s="113"/>
      <c r="R172" s="113"/>
      <c r="S172" s="113"/>
      <c r="T172" s="113"/>
      <c r="U172" s="113"/>
      <c r="V172" s="113"/>
      <c r="W172" s="113"/>
      <c r="X172" s="113"/>
      <c r="Y172" s="113"/>
      <c r="Z172" s="113"/>
      <c r="AA172" s="113"/>
      <c r="AB172" s="113"/>
    </row>
    <row r="173" spans="1:28" s="4" customFormat="1" ht="12.75" x14ac:dyDescent="0.2">
      <c r="A173" s="106"/>
      <c r="B173" s="14" t="s">
        <v>144</v>
      </c>
      <c r="C173" s="20"/>
      <c r="D173" s="20"/>
      <c r="E173" s="106"/>
      <c r="F173" s="106"/>
      <c r="G173" s="9"/>
      <c r="I173" s="107"/>
      <c r="J173" s="17"/>
      <c r="K173" s="17"/>
      <c r="L173" s="9"/>
      <c r="M173" s="37"/>
      <c r="N173" s="113"/>
      <c r="O173" s="113"/>
      <c r="P173" s="113"/>
      <c r="Q173" s="113"/>
      <c r="R173" s="113"/>
      <c r="S173" s="113"/>
      <c r="T173" s="113"/>
      <c r="U173" s="113"/>
      <c r="V173" s="113"/>
      <c r="W173" s="113"/>
      <c r="X173" s="113"/>
      <c r="Y173" s="113"/>
      <c r="Z173" s="113"/>
      <c r="AA173" s="113"/>
      <c r="AB173" s="113"/>
    </row>
    <row r="174" spans="1:28" s="4" customFormat="1" ht="12.75" x14ac:dyDescent="0.2">
      <c r="A174" s="106"/>
      <c r="B174" s="14" t="s">
        <v>142</v>
      </c>
      <c r="C174" s="20"/>
      <c r="D174" s="20"/>
      <c r="E174" s="106"/>
      <c r="F174" s="106"/>
      <c r="G174" s="9"/>
      <c r="I174" s="107"/>
      <c r="J174" s="17"/>
      <c r="K174" s="17"/>
      <c r="L174" s="9"/>
      <c r="M174" s="37"/>
      <c r="N174" s="113"/>
      <c r="O174" s="113"/>
      <c r="P174" s="113"/>
      <c r="Q174" s="113"/>
      <c r="R174" s="113"/>
      <c r="S174" s="113"/>
      <c r="T174" s="113"/>
      <c r="U174" s="113"/>
      <c r="V174" s="113"/>
      <c r="W174" s="113"/>
      <c r="X174" s="113"/>
      <c r="Y174" s="113"/>
      <c r="Z174" s="113"/>
      <c r="AA174" s="113"/>
      <c r="AB174" s="113"/>
    </row>
    <row r="175" spans="1:28" s="4" customFormat="1" ht="12.75" x14ac:dyDescent="0.2">
      <c r="A175" s="106"/>
      <c r="B175" s="14" t="s">
        <v>143</v>
      </c>
      <c r="C175" s="20"/>
      <c r="D175" s="20"/>
      <c r="E175" s="106"/>
      <c r="F175" s="106"/>
      <c r="G175" s="9"/>
      <c r="I175" s="107"/>
      <c r="J175" s="17"/>
      <c r="K175" s="17"/>
      <c r="L175" s="9"/>
      <c r="M175" s="37"/>
      <c r="N175" s="113"/>
      <c r="O175" s="113"/>
      <c r="P175" s="113"/>
      <c r="Q175" s="113"/>
      <c r="R175" s="113"/>
      <c r="S175" s="113"/>
      <c r="T175" s="113"/>
      <c r="U175" s="113"/>
      <c r="V175" s="113"/>
      <c r="W175" s="113"/>
      <c r="X175" s="113"/>
      <c r="Y175" s="113"/>
      <c r="Z175" s="113"/>
      <c r="AA175" s="113"/>
      <c r="AB175" s="113"/>
    </row>
    <row r="176" spans="1:28" s="4" customFormat="1" ht="12.75" x14ac:dyDescent="0.2">
      <c r="A176" s="106"/>
      <c r="B176" s="14"/>
      <c r="C176" s="20"/>
      <c r="D176" s="20"/>
      <c r="E176" s="106"/>
      <c r="F176" s="106"/>
      <c r="G176" s="9"/>
      <c r="I176" s="107"/>
      <c r="J176" s="17"/>
      <c r="K176" s="17"/>
      <c r="L176" s="9"/>
      <c r="M176" s="37"/>
      <c r="N176" s="113"/>
      <c r="O176" s="113"/>
      <c r="P176" s="113"/>
      <c r="Q176" s="113"/>
      <c r="R176" s="113"/>
      <c r="S176" s="113"/>
      <c r="T176" s="113"/>
      <c r="U176" s="113"/>
      <c r="V176" s="113"/>
      <c r="W176" s="113"/>
      <c r="X176" s="113"/>
      <c r="Y176" s="113"/>
      <c r="Z176" s="113"/>
      <c r="AA176" s="113"/>
      <c r="AB176" s="113"/>
    </row>
    <row r="177" spans="1:28" ht="12.75" x14ac:dyDescent="0.2">
      <c r="B177" s="14" t="s">
        <v>145</v>
      </c>
      <c r="C177" s="20"/>
      <c r="D177" s="20"/>
      <c r="E177" s="106"/>
      <c r="F177" s="106"/>
      <c r="G177" s="9"/>
      <c r="I177" s="107"/>
      <c r="J177" s="17"/>
      <c r="K177" s="26" t="s">
        <v>53</v>
      </c>
      <c r="L177" s="16">
        <f>+G164+L164</f>
        <v>9972.9293458225602</v>
      </c>
      <c r="M177" s="37" t="s">
        <v>51</v>
      </c>
    </row>
    <row r="178" spans="1:28" ht="12.75" x14ac:dyDescent="0.2">
      <c r="B178" s="14"/>
      <c r="C178" s="20"/>
      <c r="D178" s="20"/>
      <c r="E178" s="106"/>
      <c r="F178" s="106"/>
      <c r="G178" s="9"/>
      <c r="I178" s="107"/>
      <c r="J178" s="17"/>
      <c r="K178" s="17"/>
      <c r="L178" s="9"/>
    </row>
    <row r="179" spans="1:28" s="4" customFormat="1" ht="12.75" x14ac:dyDescent="0.2">
      <c r="A179" s="106"/>
      <c r="C179" s="4" t="s">
        <v>270</v>
      </c>
      <c r="M179" s="37"/>
      <c r="N179" s="113"/>
      <c r="O179" s="113"/>
      <c r="P179" s="113"/>
      <c r="Q179" s="113"/>
      <c r="R179" s="113"/>
      <c r="S179" s="113"/>
      <c r="T179" s="113"/>
      <c r="U179" s="113"/>
      <c r="V179" s="113"/>
      <c r="W179" s="113"/>
      <c r="X179" s="113"/>
      <c r="Y179" s="113"/>
      <c r="Z179" s="113"/>
      <c r="AA179" s="113"/>
      <c r="AB179" s="113"/>
    </row>
    <row r="180" spans="1:28" ht="14.25" x14ac:dyDescent="0.2">
      <c r="D180" s="4" t="s">
        <v>53</v>
      </c>
      <c r="G180" s="63"/>
      <c r="I180" s="106"/>
      <c r="J180" s="106"/>
      <c r="K180" s="106"/>
      <c r="L180" s="106"/>
      <c r="M180" s="37" t="s">
        <v>53</v>
      </c>
    </row>
    <row r="181" spans="1:28" s="4" customFormat="1" ht="12.75" x14ac:dyDescent="0.2">
      <c r="A181" s="106"/>
      <c r="C181" s="15" t="s">
        <v>123</v>
      </c>
      <c r="D181" s="15"/>
      <c r="E181" s="16">
        <v>0</v>
      </c>
      <c r="F181" s="17" t="s">
        <v>53</v>
      </c>
      <c r="G181" s="9"/>
      <c r="J181" s="58" t="s">
        <v>124</v>
      </c>
      <c r="K181" s="58"/>
      <c r="L181" s="16">
        <f>+E181-(I39*6)</f>
        <v>0</v>
      </c>
      <c r="M181" s="38"/>
      <c r="N181" s="120"/>
      <c r="O181" s="120"/>
      <c r="P181" s="120"/>
      <c r="Q181" s="120"/>
      <c r="R181" s="113"/>
      <c r="S181" s="113"/>
      <c r="T181" s="113"/>
      <c r="U181" s="113"/>
      <c r="V181" s="113"/>
      <c r="W181" s="113"/>
      <c r="X181" s="113"/>
      <c r="Y181" s="113"/>
      <c r="Z181" s="113"/>
      <c r="AA181" s="113"/>
      <c r="AB181" s="113"/>
    </row>
    <row r="182" spans="1:28" ht="14.25" x14ac:dyDescent="0.2">
      <c r="D182" s="4" t="s">
        <v>53</v>
      </c>
      <c r="G182" s="63"/>
      <c r="I182" s="106"/>
      <c r="J182" s="106"/>
      <c r="K182" s="106"/>
      <c r="L182" s="106"/>
      <c r="M182" s="37" t="s">
        <v>53</v>
      </c>
    </row>
    <row r="183" spans="1:28" s="4" customFormat="1" ht="12.75" x14ac:dyDescent="0.2">
      <c r="A183" s="106"/>
      <c r="B183" s="167" t="s">
        <v>29</v>
      </c>
      <c r="C183" s="169" t="s">
        <v>37</v>
      </c>
      <c r="D183" s="169" t="s">
        <v>30</v>
      </c>
      <c r="E183" s="171" t="s">
        <v>26</v>
      </c>
      <c r="F183" s="172"/>
      <c r="G183" s="173"/>
      <c r="H183" s="174" t="s">
        <v>28</v>
      </c>
      <c r="I183" s="175"/>
      <c r="J183" s="175"/>
      <c r="K183" s="175"/>
      <c r="L183" s="167" t="s">
        <v>39</v>
      </c>
      <c r="M183" s="37"/>
      <c r="N183" s="113"/>
      <c r="O183" s="113"/>
      <c r="P183" s="113"/>
      <c r="Q183" s="113"/>
      <c r="R183" s="113"/>
      <c r="S183" s="113"/>
      <c r="T183" s="113"/>
      <c r="U183" s="113"/>
      <c r="V183" s="113"/>
      <c r="W183" s="113"/>
      <c r="X183" s="113"/>
      <c r="Y183" s="113"/>
      <c r="Z183" s="113"/>
      <c r="AA183" s="113"/>
      <c r="AB183" s="113"/>
    </row>
    <row r="184" spans="1:28" s="4" customFormat="1" ht="12.75" x14ac:dyDescent="0.2">
      <c r="A184" s="106"/>
      <c r="B184" s="168"/>
      <c r="C184" s="170"/>
      <c r="D184" s="170"/>
      <c r="E184" s="180" t="s">
        <v>25</v>
      </c>
      <c r="F184" s="180" t="s">
        <v>27</v>
      </c>
      <c r="G184" s="187" t="s">
        <v>31</v>
      </c>
      <c r="H184" s="180" t="s">
        <v>265</v>
      </c>
      <c r="I184" s="180" t="s">
        <v>38</v>
      </c>
      <c r="J184" s="189" t="s">
        <v>31</v>
      </c>
      <c r="K184" s="190"/>
      <c r="L184" s="168"/>
      <c r="M184" s="37"/>
      <c r="N184" s="113"/>
      <c r="O184" s="113"/>
      <c r="P184" s="113"/>
      <c r="Q184" s="113"/>
      <c r="R184" s="113"/>
      <c r="S184" s="113"/>
      <c r="T184" s="113"/>
      <c r="U184" s="113"/>
      <c r="V184" s="113"/>
      <c r="W184" s="113"/>
      <c r="X184" s="113"/>
      <c r="Y184" s="113"/>
      <c r="Z184" s="113"/>
      <c r="AA184" s="113"/>
      <c r="AB184" s="113"/>
    </row>
    <row r="185" spans="1:28" s="4" customFormat="1" ht="12.75" x14ac:dyDescent="0.2">
      <c r="A185" s="106"/>
      <c r="B185" s="108" t="s">
        <v>263</v>
      </c>
      <c r="C185" s="170"/>
      <c r="D185" s="170"/>
      <c r="E185" s="181"/>
      <c r="F185" s="181"/>
      <c r="G185" s="188"/>
      <c r="H185" s="181"/>
      <c r="I185" s="181"/>
      <c r="J185" s="191"/>
      <c r="K185" s="192"/>
      <c r="L185" s="168"/>
      <c r="M185" s="37"/>
      <c r="N185" s="113"/>
      <c r="O185" s="113"/>
      <c r="P185" s="113"/>
      <c r="Q185" s="113"/>
      <c r="R185" s="113"/>
      <c r="S185" s="113"/>
      <c r="T185" s="113"/>
      <c r="U185" s="113"/>
      <c r="V185" s="113"/>
      <c r="W185" s="113"/>
      <c r="X185" s="113"/>
      <c r="Y185" s="113"/>
      <c r="Z185" s="113"/>
      <c r="AA185" s="113"/>
      <c r="AB185" s="113"/>
    </row>
    <row r="186" spans="1:28" s="4" customFormat="1" ht="12.75" x14ac:dyDescent="0.2">
      <c r="A186" s="106"/>
      <c r="B186" s="64" t="s">
        <v>264</v>
      </c>
      <c r="C186" s="86">
        <v>1</v>
      </c>
      <c r="D186" s="86">
        <v>3</v>
      </c>
      <c r="E186" s="65">
        <v>4</v>
      </c>
      <c r="F186" s="65">
        <v>5</v>
      </c>
      <c r="G186" s="65">
        <v>6</v>
      </c>
      <c r="H186" s="65">
        <v>7</v>
      </c>
      <c r="I186" s="65">
        <v>8</v>
      </c>
      <c r="J186" s="176">
        <v>9</v>
      </c>
      <c r="K186" s="177"/>
      <c r="L186" s="64">
        <v>10</v>
      </c>
      <c r="M186" s="38"/>
      <c r="N186" s="113"/>
      <c r="O186" s="113"/>
      <c r="P186" s="113"/>
      <c r="Q186" s="113"/>
      <c r="R186" s="113"/>
      <c r="S186" s="113"/>
      <c r="T186" s="113"/>
      <c r="U186" s="113"/>
      <c r="V186" s="113"/>
      <c r="W186" s="113"/>
      <c r="X186" s="113"/>
      <c r="Y186" s="113"/>
      <c r="Z186" s="113"/>
      <c r="AA186" s="113"/>
      <c r="AB186" s="113"/>
    </row>
    <row r="187" spans="1:28" s="4" customFormat="1" ht="12.75" x14ac:dyDescent="0.2">
      <c r="A187" s="106"/>
      <c r="B187" s="22" t="s">
        <v>126</v>
      </c>
      <c r="C187" s="23">
        <v>0</v>
      </c>
      <c r="D187" s="66">
        <f>IF(C187=0,0,(C187/$C$232))</f>
        <v>0</v>
      </c>
      <c r="E187" s="97">
        <v>0.2</v>
      </c>
      <c r="F187" s="67">
        <f t="shared" ref="F187:F197" si="6">+D187*E187</f>
        <v>0</v>
      </c>
      <c r="G187" s="68">
        <f t="shared" ref="G187:G197" si="7">+(F187*$L$215)/12</f>
        <v>0</v>
      </c>
      <c r="H187" s="98">
        <v>0.2</v>
      </c>
      <c r="I187" s="69">
        <f t="shared" ref="I187:I197" si="8">+H187*D187</f>
        <v>0</v>
      </c>
      <c r="J187" s="178">
        <f>+I187*$E$215</f>
        <v>0</v>
      </c>
      <c r="K187" s="178"/>
      <c r="L187" s="70">
        <f t="shared" ref="L187:L197" si="9">IF(J187="","",J187*((1+$H$143)^0.0833-1))</f>
        <v>0</v>
      </c>
      <c r="M187" s="37"/>
      <c r="N187" s="113"/>
      <c r="O187" s="113"/>
      <c r="P187" s="113"/>
      <c r="Q187" s="113"/>
      <c r="R187" s="113"/>
      <c r="S187" s="113"/>
      <c r="T187" s="113"/>
      <c r="U187" s="113"/>
      <c r="V187" s="113"/>
      <c r="W187" s="113"/>
      <c r="X187" s="113"/>
      <c r="Y187" s="113"/>
      <c r="Z187" s="113"/>
      <c r="AA187" s="113"/>
      <c r="AB187" s="113"/>
    </row>
    <row r="188" spans="1:28" s="4" customFormat="1" ht="12.75" x14ac:dyDescent="0.2">
      <c r="A188" s="106"/>
      <c r="B188" s="71" t="s">
        <v>125</v>
      </c>
      <c r="C188" s="23">
        <v>0</v>
      </c>
      <c r="D188" s="66">
        <f t="shared" ref="D188:D197" si="10">IF(C188=0,0,(C188/$C$232))</f>
        <v>0</v>
      </c>
      <c r="E188" s="97">
        <v>0.171429</v>
      </c>
      <c r="F188" s="67">
        <f t="shared" si="6"/>
        <v>0</v>
      </c>
      <c r="G188" s="68">
        <f t="shared" si="7"/>
        <v>0</v>
      </c>
      <c r="H188" s="99">
        <v>0.37142900000000001</v>
      </c>
      <c r="I188" s="72">
        <f t="shared" si="8"/>
        <v>0</v>
      </c>
      <c r="J188" s="179">
        <f t="shared" ref="J188:J197" si="11">+I188*$E$215</f>
        <v>0</v>
      </c>
      <c r="K188" s="179"/>
      <c r="L188" s="70">
        <f t="shared" si="9"/>
        <v>0</v>
      </c>
      <c r="M188" s="37"/>
      <c r="N188" s="113"/>
      <c r="O188" s="113"/>
      <c r="P188" s="113"/>
      <c r="Q188" s="113"/>
      <c r="R188" s="113"/>
      <c r="S188" s="113"/>
      <c r="T188" s="113"/>
      <c r="U188" s="113"/>
      <c r="V188" s="113"/>
      <c r="W188" s="113"/>
      <c r="X188" s="113"/>
      <c r="Y188" s="113"/>
      <c r="Z188" s="113"/>
      <c r="AA188" s="113"/>
      <c r="AB188" s="113"/>
    </row>
    <row r="189" spans="1:28" s="4" customFormat="1" ht="12.75" x14ac:dyDescent="0.2">
      <c r="A189" s="106"/>
      <c r="B189" s="71" t="s">
        <v>127</v>
      </c>
      <c r="C189" s="23">
        <v>0</v>
      </c>
      <c r="D189" s="66">
        <f t="shared" si="10"/>
        <v>0</v>
      </c>
      <c r="E189" s="97">
        <v>0.14285700000000001</v>
      </c>
      <c r="F189" s="67">
        <f t="shared" si="6"/>
        <v>0</v>
      </c>
      <c r="G189" s="68">
        <f t="shared" si="7"/>
        <v>0</v>
      </c>
      <c r="H189" s="99">
        <v>0.51428600000000002</v>
      </c>
      <c r="I189" s="72">
        <f t="shared" si="8"/>
        <v>0</v>
      </c>
      <c r="J189" s="179">
        <f t="shared" si="11"/>
        <v>0</v>
      </c>
      <c r="K189" s="179"/>
      <c r="L189" s="70">
        <f t="shared" si="9"/>
        <v>0</v>
      </c>
      <c r="M189" s="37"/>
      <c r="N189" s="113"/>
      <c r="O189" s="113"/>
      <c r="P189" s="113"/>
      <c r="Q189" s="113"/>
      <c r="R189" s="113"/>
      <c r="S189" s="113"/>
      <c r="T189" s="113"/>
      <c r="U189" s="113"/>
      <c r="V189" s="113"/>
      <c r="W189" s="113"/>
      <c r="X189" s="113"/>
      <c r="Y189" s="113"/>
      <c r="Z189" s="113"/>
      <c r="AA189" s="113"/>
      <c r="AB189" s="113"/>
    </row>
    <row r="190" spans="1:28" s="4" customFormat="1" ht="12.75" x14ac:dyDescent="0.2">
      <c r="A190" s="106"/>
      <c r="B190" s="71" t="s">
        <v>128</v>
      </c>
      <c r="C190" s="23">
        <v>0</v>
      </c>
      <c r="D190" s="66">
        <f t="shared" si="10"/>
        <v>0</v>
      </c>
      <c r="E190" s="97">
        <v>0.1142886</v>
      </c>
      <c r="F190" s="67">
        <f t="shared" si="6"/>
        <v>0</v>
      </c>
      <c r="G190" s="68">
        <f t="shared" si="7"/>
        <v>0</v>
      </c>
      <c r="H190" s="99">
        <v>0.62857099999999999</v>
      </c>
      <c r="I190" s="72">
        <f t="shared" si="8"/>
        <v>0</v>
      </c>
      <c r="J190" s="179">
        <f t="shared" si="11"/>
        <v>0</v>
      </c>
      <c r="K190" s="179"/>
      <c r="L190" s="70">
        <f t="shared" si="9"/>
        <v>0</v>
      </c>
      <c r="M190" s="37"/>
      <c r="N190" s="113"/>
      <c r="O190" s="113"/>
      <c r="P190" s="113"/>
      <c r="Q190" s="113"/>
      <c r="R190" s="113"/>
      <c r="S190" s="113"/>
      <c r="T190" s="113"/>
      <c r="U190" s="113"/>
      <c r="V190" s="113"/>
      <c r="W190" s="113"/>
      <c r="X190" s="113"/>
      <c r="Y190" s="113"/>
      <c r="Z190" s="113"/>
      <c r="AA190" s="113"/>
      <c r="AB190" s="113"/>
    </row>
    <row r="191" spans="1:28" s="4" customFormat="1" ht="12.75" x14ac:dyDescent="0.2">
      <c r="A191" s="106"/>
      <c r="B191" s="71" t="s">
        <v>129</v>
      </c>
      <c r="C191" s="23">
        <v>0</v>
      </c>
      <c r="D191" s="66">
        <f t="shared" si="10"/>
        <v>0</v>
      </c>
      <c r="E191" s="97">
        <v>8.5713999999999999E-2</v>
      </c>
      <c r="F191" s="67">
        <f t="shared" si="6"/>
        <v>0</v>
      </c>
      <c r="G191" s="68">
        <f t="shared" si="7"/>
        <v>0</v>
      </c>
      <c r="H191" s="99">
        <v>0.71428599999999998</v>
      </c>
      <c r="I191" s="72">
        <f t="shared" si="8"/>
        <v>0</v>
      </c>
      <c r="J191" s="179">
        <f t="shared" si="11"/>
        <v>0</v>
      </c>
      <c r="K191" s="179"/>
      <c r="L191" s="70">
        <f t="shared" si="9"/>
        <v>0</v>
      </c>
      <c r="M191" s="37"/>
      <c r="N191" s="113"/>
      <c r="O191" s="113"/>
      <c r="P191" s="113"/>
      <c r="Q191" s="113"/>
      <c r="R191" s="113"/>
      <c r="S191" s="113"/>
      <c r="T191" s="113"/>
      <c r="U191" s="113"/>
      <c r="V191" s="113"/>
      <c r="W191" s="113"/>
      <c r="X191" s="113"/>
      <c r="Y191" s="113"/>
      <c r="Z191" s="113"/>
      <c r="AA191" s="113"/>
      <c r="AB191" s="113"/>
    </row>
    <row r="192" spans="1:28" s="4" customFormat="1" ht="12.75" x14ac:dyDescent="0.2">
      <c r="A192" s="106"/>
      <c r="B192" s="71" t="s">
        <v>130</v>
      </c>
      <c r="C192" s="23">
        <v>0</v>
      </c>
      <c r="D192" s="66">
        <f t="shared" si="10"/>
        <v>0</v>
      </c>
      <c r="E192" s="97">
        <v>5.7142999999999999E-2</v>
      </c>
      <c r="F192" s="67">
        <f t="shared" si="6"/>
        <v>0</v>
      </c>
      <c r="G192" s="68">
        <f t="shared" si="7"/>
        <v>0</v>
      </c>
      <c r="H192" s="99">
        <v>0.77142900000000003</v>
      </c>
      <c r="I192" s="72">
        <f t="shared" si="8"/>
        <v>0</v>
      </c>
      <c r="J192" s="179">
        <f t="shared" si="11"/>
        <v>0</v>
      </c>
      <c r="K192" s="179"/>
      <c r="L192" s="70">
        <f t="shared" si="9"/>
        <v>0</v>
      </c>
      <c r="M192" s="37"/>
      <c r="N192" s="113"/>
      <c r="O192" s="113"/>
      <c r="P192" s="113"/>
      <c r="Q192" s="113"/>
      <c r="R192" s="113"/>
      <c r="S192" s="113"/>
      <c r="T192" s="113"/>
      <c r="U192" s="113"/>
      <c r="V192" s="113"/>
      <c r="W192" s="113"/>
      <c r="X192" s="113"/>
      <c r="Y192" s="113"/>
      <c r="Z192" s="113"/>
      <c r="AA192" s="113"/>
      <c r="AB192" s="113"/>
    </row>
    <row r="193" spans="1:28" s="4" customFormat="1" ht="12.75" x14ac:dyDescent="0.2">
      <c r="A193" s="106"/>
      <c r="B193" s="71" t="s">
        <v>131</v>
      </c>
      <c r="C193" s="23">
        <v>0</v>
      </c>
      <c r="D193" s="66">
        <f t="shared" si="10"/>
        <v>0</v>
      </c>
      <c r="E193" s="97">
        <v>2.8570999999999999E-2</v>
      </c>
      <c r="F193" s="67">
        <f t="shared" si="6"/>
        <v>0</v>
      </c>
      <c r="G193" s="68">
        <f t="shared" si="7"/>
        <v>0</v>
      </c>
      <c r="H193" s="99">
        <v>0.8</v>
      </c>
      <c r="I193" s="72">
        <f t="shared" si="8"/>
        <v>0</v>
      </c>
      <c r="J193" s="179">
        <f t="shared" si="11"/>
        <v>0</v>
      </c>
      <c r="K193" s="179"/>
      <c r="L193" s="70">
        <f t="shared" si="9"/>
        <v>0</v>
      </c>
      <c r="M193" s="37"/>
      <c r="N193" s="113"/>
      <c r="O193" s="113"/>
      <c r="P193" s="113"/>
      <c r="Q193" s="113"/>
      <c r="R193" s="113"/>
      <c r="S193" s="113"/>
      <c r="T193" s="113"/>
      <c r="U193" s="113"/>
      <c r="V193" s="113"/>
      <c r="W193" s="113"/>
      <c r="X193" s="113"/>
      <c r="Y193" s="113"/>
      <c r="Z193" s="113"/>
      <c r="AA193" s="113"/>
      <c r="AB193" s="113"/>
    </row>
    <row r="194" spans="1:28" s="4" customFormat="1" ht="12.75" x14ac:dyDescent="0.2">
      <c r="A194" s="106"/>
      <c r="B194" s="71" t="s">
        <v>132</v>
      </c>
      <c r="C194" s="23">
        <v>0</v>
      </c>
      <c r="D194" s="66">
        <f t="shared" si="10"/>
        <v>0</v>
      </c>
      <c r="E194" s="7">
        <v>0</v>
      </c>
      <c r="F194" s="67">
        <f t="shared" si="6"/>
        <v>0</v>
      </c>
      <c r="G194" s="68">
        <f t="shared" si="7"/>
        <v>0</v>
      </c>
      <c r="H194" s="99">
        <v>0.8</v>
      </c>
      <c r="I194" s="72">
        <f t="shared" si="8"/>
        <v>0</v>
      </c>
      <c r="J194" s="179">
        <f t="shared" si="11"/>
        <v>0</v>
      </c>
      <c r="K194" s="179"/>
      <c r="L194" s="70">
        <f t="shared" si="9"/>
        <v>0</v>
      </c>
      <c r="M194" s="37"/>
      <c r="N194" s="113"/>
      <c r="O194" s="113"/>
      <c r="P194" s="113"/>
      <c r="Q194" s="113"/>
      <c r="R194" s="113"/>
      <c r="S194" s="113"/>
      <c r="T194" s="113"/>
      <c r="U194" s="113"/>
      <c r="V194" s="113"/>
      <c r="W194" s="113"/>
      <c r="X194" s="113"/>
      <c r="Y194" s="113"/>
      <c r="Z194" s="113"/>
      <c r="AA194" s="113"/>
      <c r="AB194" s="113"/>
    </row>
    <row r="195" spans="1:28" s="4" customFormat="1" ht="12.75" x14ac:dyDescent="0.2">
      <c r="A195" s="106"/>
      <c r="B195" s="71" t="s">
        <v>133</v>
      </c>
      <c r="C195" s="23">
        <v>0</v>
      </c>
      <c r="D195" s="66">
        <f t="shared" si="10"/>
        <v>0</v>
      </c>
      <c r="E195" s="7">
        <v>0</v>
      </c>
      <c r="F195" s="67">
        <f t="shared" si="6"/>
        <v>0</v>
      </c>
      <c r="G195" s="68">
        <f t="shared" si="7"/>
        <v>0</v>
      </c>
      <c r="H195" s="99">
        <v>0.8</v>
      </c>
      <c r="I195" s="72">
        <f t="shared" si="8"/>
        <v>0</v>
      </c>
      <c r="J195" s="179">
        <f t="shared" si="11"/>
        <v>0</v>
      </c>
      <c r="K195" s="179"/>
      <c r="L195" s="70">
        <f t="shared" si="9"/>
        <v>0</v>
      </c>
      <c r="M195" s="37"/>
      <c r="N195" s="113"/>
      <c r="O195" s="113"/>
      <c r="P195" s="113"/>
      <c r="Q195" s="113"/>
      <c r="R195" s="113"/>
      <c r="S195" s="113"/>
      <c r="T195" s="113"/>
      <c r="U195" s="113"/>
      <c r="V195" s="113"/>
      <c r="W195" s="113"/>
      <c r="X195" s="113"/>
      <c r="Y195" s="113"/>
      <c r="Z195" s="113"/>
      <c r="AA195" s="113"/>
      <c r="AB195" s="113"/>
    </row>
    <row r="196" spans="1:28" s="4" customFormat="1" ht="12.75" x14ac:dyDescent="0.2">
      <c r="A196" s="106"/>
      <c r="B196" s="71" t="s">
        <v>134</v>
      </c>
      <c r="C196" s="23">
        <v>0</v>
      </c>
      <c r="D196" s="66">
        <f t="shared" si="10"/>
        <v>0</v>
      </c>
      <c r="E196" s="7">
        <v>0</v>
      </c>
      <c r="F196" s="67">
        <f t="shared" si="6"/>
        <v>0</v>
      </c>
      <c r="G196" s="68">
        <f t="shared" si="7"/>
        <v>0</v>
      </c>
      <c r="H196" s="99">
        <v>0.8</v>
      </c>
      <c r="I196" s="72">
        <f t="shared" si="8"/>
        <v>0</v>
      </c>
      <c r="J196" s="179">
        <f t="shared" si="11"/>
        <v>0</v>
      </c>
      <c r="K196" s="179"/>
      <c r="L196" s="70">
        <f t="shared" si="9"/>
        <v>0</v>
      </c>
      <c r="M196" s="37"/>
      <c r="N196" s="113"/>
      <c r="O196" s="113"/>
      <c r="P196" s="113"/>
      <c r="Q196" s="113"/>
      <c r="R196" s="113"/>
      <c r="S196" s="113"/>
      <c r="T196" s="113"/>
      <c r="U196" s="113"/>
      <c r="V196" s="113"/>
      <c r="W196" s="113"/>
      <c r="X196" s="113"/>
      <c r="Y196" s="113"/>
      <c r="Z196" s="113"/>
      <c r="AA196" s="113"/>
      <c r="AB196" s="113"/>
    </row>
    <row r="197" spans="1:28" s="4" customFormat="1" ht="12.75" x14ac:dyDescent="0.2">
      <c r="A197" s="106"/>
      <c r="B197" s="71" t="s">
        <v>135</v>
      </c>
      <c r="C197" s="23">
        <v>0</v>
      </c>
      <c r="D197" s="66">
        <f t="shared" si="10"/>
        <v>0</v>
      </c>
      <c r="E197" s="67">
        <v>0</v>
      </c>
      <c r="F197" s="67">
        <f t="shared" si="6"/>
        <v>0</v>
      </c>
      <c r="G197" s="68">
        <f t="shared" si="7"/>
        <v>0</v>
      </c>
      <c r="H197" s="99">
        <v>0.8</v>
      </c>
      <c r="I197" s="72">
        <f t="shared" si="8"/>
        <v>0</v>
      </c>
      <c r="J197" s="200">
        <f t="shared" si="11"/>
        <v>0</v>
      </c>
      <c r="K197" s="200"/>
      <c r="L197" s="70">
        <f t="shared" si="9"/>
        <v>0</v>
      </c>
      <c r="M197" s="37"/>
      <c r="N197" s="113"/>
      <c r="O197" s="113"/>
      <c r="P197" s="113"/>
      <c r="Q197" s="113"/>
      <c r="R197" s="113"/>
      <c r="S197" s="113"/>
      <c r="T197" s="113"/>
      <c r="U197" s="113"/>
      <c r="V197" s="113"/>
      <c r="W197" s="113"/>
      <c r="X197" s="113"/>
      <c r="Y197" s="113"/>
      <c r="Z197" s="113"/>
      <c r="AA197" s="113"/>
      <c r="AB197" s="113"/>
    </row>
    <row r="198" spans="1:28" s="4" customFormat="1" ht="12.75" x14ac:dyDescent="0.2">
      <c r="A198" s="106"/>
      <c r="B198" s="77" t="s">
        <v>0</v>
      </c>
      <c r="C198" s="24">
        <f>SUM(C187:C197)</f>
        <v>0</v>
      </c>
      <c r="D198" s="73">
        <f>SUM(D187:D197)</f>
        <v>0</v>
      </c>
      <c r="E198" s="50">
        <f>SUM(E187:E197)</f>
        <v>0.8000025999999999</v>
      </c>
      <c r="F198" s="50">
        <f>SUM(F187:F197)</f>
        <v>0</v>
      </c>
      <c r="G198" s="74">
        <f>SUM(G187:G197)</f>
        <v>0</v>
      </c>
      <c r="H198" s="164"/>
      <c r="I198" s="165"/>
      <c r="J198" s="165"/>
      <c r="K198" s="166"/>
      <c r="L198" s="74">
        <f>SUM(L187:L197)</f>
        <v>0</v>
      </c>
      <c r="M198" s="37"/>
      <c r="N198" s="113"/>
      <c r="O198" s="113"/>
      <c r="P198" s="113"/>
      <c r="Q198" s="113"/>
      <c r="R198" s="113"/>
      <c r="S198" s="113"/>
      <c r="T198" s="113"/>
      <c r="U198" s="113"/>
      <c r="V198" s="113"/>
      <c r="W198" s="113"/>
      <c r="X198" s="113"/>
      <c r="Y198" s="113"/>
      <c r="Z198" s="113"/>
      <c r="AA198" s="113"/>
      <c r="AB198" s="113"/>
    </row>
    <row r="199" spans="1:28" ht="14.25" x14ac:dyDescent="0.2">
      <c r="D199" s="4" t="s">
        <v>53</v>
      </c>
      <c r="G199" s="81"/>
      <c r="I199" s="106"/>
      <c r="J199" s="106"/>
      <c r="K199" s="106"/>
      <c r="L199" s="106"/>
      <c r="M199" s="37" t="s">
        <v>53</v>
      </c>
    </row>
    <row r="200" spans="1:28" s="4" customFormat="1" ht="12.75" x14ac:dyDescent="0.2">
      <c r="A200" s="106"/>
      <c r="B200" s="25" t="s">
        <v>206</v>
      </c>
      <c r="C200" s="20"/>
      <c r="D200" s="20"/>
      <c r="E200" s="106"/>
      <c r="F200" s="106"/>
      <c r="G200" s="9"/>
      <c r="I200" s="107"/>
      <c r="J200" s="17"/>
      <c r="K200" s="17"/>
      <c r="L200" s="9"/>
      <c r="M200" s="37"/>
      <c r="N200" s="113"/>
      <c r="O200" s="113"/>
      <c r="P200" s="113"/>
      <c r="Q200" s="113"/>
      <c r="R200" s="113"/>
      <c r="S200" s="113"/>
      <c r="T200" s="113"/>
      <c r="U200" s="113"/>
      <c r="V200" s="113"/>
      <c r="W200" s="113"/>
      <c r="X200" s="113"/>
      <c r="Y200" s="113"/>
      <c r="Z200" s="113"/>
      <c r="AA200" s="113"/>
      <c r="AB200" s="113"/>
    </row>
    <row r="201" spans="1:28" s="4" customFormat="1" ht="12.75" x14ac:dyDescent="0.2">
      <c r="A201" s="106"/>
      <c r="B201" s="14" t="s">
        <v>136</v>
      </c>
      <c r="C201" s="20"/>
      <c r="D201" s="20"/>
      <c r="E201" s="106"/>
      <c r="F201" s="106"/>
      <c r="G201" s="9"/>
      <c r="I201" s="107"/>
      <c r="J201" s="17"/>
      <c r="K201" s="17"/>
      <c r="L201" s="9"/>
      <c r="M201" s="37"/>
      <c r="N201" s="113"/>
      <c r="O201" s="113"/>
      <c r="P201" s="113"/>
      <c r="Q201" s="113"/>
      <c r="R201" s="113"/>
      <c r="S201" s="113"/>
      <c r="T201" s="113"/>
      <c r="U201" s="113"/>
      <c r="V201" s="113"/>
      <c r="W201" s="113"/>
      <c r="X201" s="113"/>
      <c r="Y201" s="113"/>
      <c r="Z201" s="113"/>
      <c r="AA201" s="113"/>
      <c r="AB201" s="113"/>
    </row>
    <row r="202" spans="1:28" s="4" customFormat="1" ht="12.75" x14ac:dyDescent="0.2">
      <c r="A202" s="106"/>
      <c r="B202" s="14" t="s">
        <v>137</v>
      </c>
      <c r="C202" s="20"/>
      <c r="D202" s="20"/>
      <c r="E202" s="106"/>
      <c r="F202" s="106"/>
      <c r="G202" s="9"/>
      <c r="I202" s="107"/>
      <c r="J202" s="17"/>
      <c r="K202" s="17"/>
      <c r="L202" s="9"/>
      <c r="M202" s="37"/>
      <c r="N202" s="113"/>
      <c r="O202" s="113"/>
      <c r="P202" s="113"/>
      <c r="Q202" s="113"/>
      <c r="R202" s="113"/>
      <c r="S202" s="113"/>
      <c r="T202" s="113"/>
      <c r="U202" s="113"/>
      <c r="V202" s="113"/>
      <c r="W202" s="113"/>
      <c r="X202" s="113"/>
      <c r="Y202" s="113"/>
      <c r="Z202" s="113"/>
      <c r="AA202" s="113"/>
      <c r="AB202" s="113"/>
    </row>
    <row r="203" spans="1:28" s="4" customFormat="1" ht="12.75" x14ac:dyDescent="0.2">
      <c r="A203" s="106"/>
      <c r="B203" s="14" t="s">
        <v>138</v>
      </c>
      <c r="C203" s="20"/>
      <c r="D203" s="20"/>
      <c r="E203" s="106"/>
      <c r="F203" s="106"/>
      <c r="G203" s="9"/>
      <c r="I203" s="107"/>
      <c r="J203" s="17"/>
      <c r="K203" s="17"/>
      <c r="L203" s="9"/>
      <c r="M203" s="37"/>
      <c r="N203" s="113"/>
      <c r="O203" s="113"/>
      <c r="P203" s="113"/>
      <c r="Q203" s="113"/>
      <c r="R203" s="113"/>
      <c r="S203" s="113"/>
      <c r="T203" s="113"/>
      <c r="U203" s="113"/>
      <c r="V203" s="113"/>
      <c r="W203" s="113"/>
      <c r="X203" s="113"/>
      <c r="Y203" s="113"/>
      <c r="Z203" s="113"/>
      <c r="AA203" s="113"/>
      <c r="AB203" s="113"/>
    </row>
    <row r="204" spans="1:28" s="4" customFormat="1" ht="12.75" x14ac:dyDescent="0.2">
      <c r="A204" s="106"/>
      <c r="B204" s="14" t="s">
        <v>139</v>
      </c>
      <c r="C204" s="20"/>
      <c r="D204" s="20"/>
      <c r="E204" s="106"/>
      <c r="F204" s="106"/>
      <c r="G204" s="9"/>
      <c r="I204" s="107"/>
      <c r="J204" s="17"/>
      <c r="K204" s="17"/>
      <c r="L204" s="9"/>
      <c r="M204" s="37"/>
      <c r="N204" s="113"/>
      <c r="O204" s="113"/>
      <c r="P204" s="113"/>
      <c r="Q204" s="113"/>
      <c r="R204" s="113"/>
      <c r="S204" s="113"/>
      <c r="T204" s="113"/>
      <c r="U204" s="113"/>
      <c r="V204" s="113"/>
      <c r="W204" s="113"/>
      <c r="X204" s="113"/>
      <c r="Y204" s="113"/>
      <c r="Z204" s="113"/>
      <c r="AA204" s="113"/>
      <c r="AB204" s="113"/>
    </row>
    <row r="205" spans="1:28" s="4" customFormat="1" ht="12.75" x14ac:dyDescent="0.2">
      <c r="A205" s="106"/>
      <c r="B205" s="14" t="s">
        <v>140</v>
      </c>
      <c r="C205" s="20"/>
      <c r="D205" s="20"/>
      <c r="E205" s="106"/>
      <c r="F205" s="106"/>
      <c r="G205" s="9"/>
      <c r="I205" s="107"/>
      <c r="J205" s="17"/>
      <c r="K205" s="17"/>
      <c r="L205" s="9"/>
      <c r="M205" s="37"/>
      <c r="N205" s="113"/>
      <c r="O205" s="113"/>
      <c r="P205" s="113"/>
      <c r="Q205" s="113"/>
      <c r="R205" s="113"/>
      <c r="S205" s="113"/>
      <c r="T205" s="113"/>
      <c r="U205" s="113"/>
      <c r="V205" s="113"/>
      <c r="W205" s="113"/>
      <c r="X205" s="113"/>
      <c r="Y205" s="113"/>
      <c r="Z205" s="113"/>
      <c r="AA205" s="113"/>
      <c r="AB205" s="113"/>
    </row>
    <row r="206" spans="1:28" s="4" customFormat="1" ht="12.75" x14ac:dyDescent="0.2">
      <c r="A206" s="106"/>
      <c r="B206" s="14" t="s">
        <v>141</v>
      </c>
      <c r="C206" s="20"/>
      <c r="D206" s="20"/>
      <c r="E206" s="106"/>
      <c r="F206" s="106"/>
      <c r="G206" s="9"/>
      <c r="I206" s="107"/>
      <c r="J206" s="17"/>
      <c r="K206" s="17"/>
      <c r="L206" s="9"/>
      <c r="M206" s="37"/>
      <c r="N206" s="113"/>
      <c r="O206" s="113"/>
      <c r="P206" s="113"/>
      <c r="Q206" s="113"/>
      <c r="R206" s="113"/>
      <c r="S206" s="113"/>
      <c r="T206" s="113"/>
      <c r="U206" s="113"/>
      <c r="V206" s="113"/>
      <c r="W206" s="113"/>
      <c r="X206" s="113"/>
      <c r="Y206" s="113"/>
      <c r="Z206" s="113"/>
      <c r="AA206" s="113"/>
      <c r="AB206" s="113"/>
    </row>
    <row r="207" spans="1:28" s="4" customFormat="1" ht="12.75" x14ac:dyDescent="0.2">
      <c r="A207" s="106"/>
      <c r="B207" s="14" t="s">
        <v>144</v>
      </c>
      <c r="C207" s="20"/>
      <c r="D207" s="20"/>
      <c r="E207" s="106"/>
      <c r="F207" s="106"/>
      <c r="G207" s="9"/>
      <c r="I207" s="107"/>
      <c r="J207" s="17"/>
      <c r="K207" s="17"/>
      <c r="L207" s="9"/>
      <c r="M207" s="37"/>
      <c r="N207" s="113"/>
      <c r="O207" s="113"/>
      <c r="P207" s="113"/>
      <c r="Q207" s="113"/>
      <c r="R207" s="113"/>
      <c r="S207" s="113"/>
      <c r="T207" s="113"/>
      <c r="U207" s="113"/>
      <c r="V207" s="113"/>
      <c r="W207" s="113"/>
      <c r="X207" s="113"/>
      <c r="Y207" s="113"/>
      <c r="Z207" s="113"/>
      <c r="AA207" s="113"/>
      <c r="AB207" s="113"/>
    </row>
    <row r="208" spans="1:28" s="4" customFormat="1" ht="12.75" x14ac:dyDescent="0.2">
      <c r="A208" s="106"/>
      <c r="B208" s="14" t="s">
        <v>142</v>
      </c>
      <c r="C208" s="20"/>
      <c r="D208" s="20"/>
      <c r="E208" s="106"/>
      <c r="F208" s="106"/>
      <c r="G208" s="9"/>
      <c r="I208" s="107"/>
      <c r="J208" s="17"/>
      <c r="K208" s="17"/>
      <c r="L208" s="9"/>
      <c r="M208" s="37"/>
      <c r="N208" s="113"/>
      <c r="O208" s="113"/>
      <c r="P208" s="113"/>
      <c r="Q208" s="113"/>
      <c r="R208" s="113"/>
      <c r="S208" s="113"/>
      <c r="T208" s="113"/>
      <c r="U208" s="113"/>
      <c r="V208" s="113"/>
      <c r="W208" s="113"/>
      <c r="X208" s="113"/>
      <c r="Y208" s="113"/>
      <c r="Z208" s="113"/>
      <c r="AA208" s="113"/>
      <c r="AB208" s="113"/>
    </row>
    <row r="209" spans="1:28" s="4" customFormat="1" ht="12.75" x14ac:dyDescent="0.2">
      <c r="A209" s="106"/>
      <c r="B209" s="14" t="s">
        <v>143</v>
      </c>
      <c r="C209" s="20"/>
      <c r="D209" s="20"/>
      <c r="E209" s="106"/>
      <c r="F209" s="106"/>
      <c r="G209" s="9"/>
      <c r="I209" s="107"/>
      <c r="J209" s="17"/>
      <c r="K209" s="17"/>
      <c r="L209" s="9"/>
      <c r="M209" s="37"/>
      <c r="N209" s="113"/>
      <c r="O209" s="113"/>
      <c r="P209" s="113"/>
      <c r="Q209" s="113"/>
      <c r="R209" s="113"/>
      <c r="S209" s="113"/>
      <c r="T209" s="113"/>
      <c r="U209" s="113"/>
      <c r="V209" s="113"/>
      <c r="W209" s="113"/>
      <c r="X209" s="113"/>
      <c r="Y209" s="113"/>
      <c r="Z209" s="113"/>
      <c r="AA209" s="113"/>
      <c r="AB209" s="113"/>
    </row>
    <row r="210" spans="1:28" s="4" customFormat="1" ht="12.75" x14ac:dyDescent="0.2">
      <c r="A210" s="106"/>
      <c r="B210" s="14"/>
      <c r="C210" s="20"/>
      <c r="D210" s="20"/>
      <c r="E210" s="106"/>
      <c r="F210" s="106"/>
      <c r="G210" s="9"/>
      <c r="I210" s="107"/>
      <c r="J210" s="17"/>
      <c r="K210" s="17"/>
      <c r="L210" s="9"/>
      <c r="M210" s="37"/>
      <c r="N210" s="113"/>
      <c r="O210" s="113"/>
      <c r="P210" s="113"/>
      <c r="Q210" s="113"/>
      <c r="R210" s="113"/>
      <c r="S210" s="113"/>
      <c r="T210" s="113"/>
      <c r="U210" s="113"/>
      <c r="V210" s="113"/>
      <c r="W210" s="113"/>
      <c r="X210" s="113"/>
      <c r="Y210" s="113"/>
      <c r="Z210" s="113"/>
      <c r="AA210" s="113"/>
      <c r="AB210" s="113"/>
    </row>
    <row r="211" spans="1:28" s="4" customFormat="1" ht="12.75" x14ac:dyDescent="0.2">
      <c r="A211" s="106"/>
      <c r="B211" s="14" t="s">
        <v>146</v>
      </c>
      <c r="C211" s="20"/>
      <c r="D211" s="20"/>
      <c r="E211" s="106"/>
      <c r="F211" s="106"/>
      <c r="G211" s="9"/>
      <c r="I211" s="107"/>
      <c r="J211" s="17"/>
      <c r="K211" s="26" t="s">
        <v>53</v>
      </c>
      <c r="L211" s="74">
        <f>+G198+L198</f>
        <v>0</v>
      </c>
      <c r="M211" s="37" t="s">
        <v>54</v>
      </c>
      <c r="N211" s="113"/>
      <c r="O211" s="113"/>
      <c r="P211" s="113"/>
      <c r="Q211" s="113"/>
      <c r="R211" s="113"/>
      <c r="S211" s="113"/>
      <c r="T211" s="113"/>
      <c r="U211" s="113"/>
      <c r="V211" s="113"/>
      <c r="W211" s="113"/>
      <c r="X211" s="113"/>
      <c r="Y211" s="113"/>
      <c r="Z211" s="113"/>
      <c r="AA211" s="113"/>
      <c r="AB211" s="113"/>
    </row>
    <row r="212" spans="1:28" s="4" customFormat="1" ht="12.75" x14ac:dyDescent="0.2">
      <c r="A212" s="106"/>
      <c r="B212" s="14"/>
      <c r="C212" s="20"/>
      <c r="D212" s="20"/>
      <c r="E212" s="106"/>
      <c r="F212" s="106"/>
      <c r="J212" s="17"/>
      <c r="L212" s="9"/>
      <c r="M212" s="37"/>
      <c r="N212" s="113"/>
      <c r="O212" s="113"/>
      <c r="P212" s="113"/>
      <c r="Q212" s="113"/>
      <c r="R212" s="113"/>
      <c r="S212" s="113"/>
      <c r="T212" s="113"/>
      <c r="U212" s="113"/>
      <c r="V212" s="113"/>
      <c r="W212" s="113"/>
      <c r="X212" s="113"/>
      <c r="Y212" s="113"/>
      <c r="Z212" s="113"/>
      <c r="AA212" s="113"/>
      <c r="AB212" s="113"/>
    </row>
    <row r="213" spans="1:28" s="4" customFormat="1" ht="12.75" x14ac:dyDescent="0.2">
      <c r="A213" s="106"/>
      <c r="C213" s="4" t="s">
        <v>290</v>
      </c>
      <c r="M213" s="37"/>
      <c r="N213" s="113"/>
      <c r="O213" s="113"/>
      <c r="P213" s="113"/>
      <c r="Q213" s="113"/>
      <c r="R213" s="113"/>
      <c r="S213" s="113"/>
      <c r="T213" s="113"/>
      <c r="U213" s="113"/>
      <c r="V213" s="113"/>
      <c r="W213" s="113"/>
      <c r="X213" s="113"/>
      <c r="Y213" s="113"/>
      <c r="Z213" s="113"/>
      <c r="AA213" s="113"/>
      <c r="AB213" s="113"/>
    </row>
    <row r="214" spans="1:28" ht="14.25" x14ac:dyDescent="0.2">
      <c r="D214" s="4" t="s">
        <v>53</v>
      </c>
      <c r="G214" s="81"/>
      <c r="I214" s="106"/>
      <c r="J214" s="106"/>
      <c r="K214" s="106"/>
      <c r="L214" s="106"/>
      <c r="M214" s="37" t="s">
        <v>53</v>
      </c>
    </row>
    <row r="215" spans="1:28" s="4" customFormat="1" ht="12.75" x14ac:dyDescent="0.2">
      <c r="A215" s="106"/>
      <c r="C215" s="15" t="s">
        <v>123</v>
      </c>
      <c r="D215" s="15"/>
      <c r="E215" s="79">
        <v>705640</v>
      </c>
      <c r="F215" s="17"/>
      <c r="G215" s="9"/>
      <c r="J215" s="58" t="s">
        <v>124</v>
      </c>
      <c r="K215" s="58"/>
      <c r="L215" s="79">
        <f>+E215-(I51*6)</f>
        <v>690774.94</v>
      </c>
      <c r="M215" s="41"/>
      <c r="N215" s="120"/>
      <c r="O215" s="120"/>
      <c r="P215" s="120"/>
      <c r="Q215" s="120"/>
      <c r="R215" s="113"/>
      <c r="S215" s="113"/>
      <c r="T215" s="113"/>
      <c r="U215" s="113"/>
      <c r="V215" s="113"/>
      <c r="W215" s="113"/>
      <c r="X215" s="113"/>
      <c r="Y215" s="113"/>
      <c r="Z215" s="113"/>
      <c r="AA215" s="113"/>
      <c r="AB215" s="113"/>
    </row>
    <row r="216" spans="1:28" ht="14.25" x14ac:dyDescent="0.2">
      <c r="D216" s="4" t="s">
        <v>53</v>
      </c>
      <c r="G216" s="63"/>
      <c r="I216" s="106"/>
      <c r="J216" s="106"/>
      <c r="K216" s="106"/>
      <c r="L216" s="106"/>
      <c r="M216" s="37" t="s">
        <v>53</v>
      </c>
    </row>
    <row r="217" spans="1:28" s="4" customFormat="1" ht="12.75" x14ac:dyDescent="0.2">
      <c r="A217" s="106"/>
      <c r="B217" s="167" t="s">
        <v>29</v>
      </c>
      <c r="C217" s="169" t="s">
        <v>37</v>
      </c>
      <c r="D217" s="169" t="s">
        <v>30</v>
      </c>
      <c r="E217" s="171" t="s">
        <v>26</v>
      </c>
      <c r="F217" s="172"/>
      <c r="G217" s="173"/>
      <c r="H217" s="174" t="s">
        <v>28</v>
      </c>
      <c r="I217" s="175"/>
      <c r="J217" s="175"/>
      <c r="K217" s="175"/>
      <c r="L217" s="167" t="s">
        <v>39</v>
      </c>
      <c r="M217" s="37"/>
      <c r="N217" s="113"/>
      <c r="O217" s="113"/>
      <c r="P217" s="113"/>
      <c r="Q217" s="113"/>
      <c r="R217" s="113"/>
      <c r="S217" s="113"/>
      <c r="T217" s="113"/>
      <c r="U217" s="113"/>
      <c r="V217" s="113"/>
      <c r="W217" s="113"/>
      <c r="X217" s="113"/>
      <c r="Y217" s="113"/>
      <c r="Z217" s="113"/>
      <c r="AA217" s="113"/>
      <c r="AB217" s="113"/>
    </row>
    <row r="218" spans="1:28" s="4" customFormat="1" ht="12.75" x14ac:dyDescent="0.2">
      <c r="A218" s="106"/>
      <c r="B218" s="168"/>
      <c r="C218" s="170"/>
      <c r="D218" s="170"/>
      <c r="E218" s="180" t="s">
        <v>25</v>
      </c>
      <c r="F218" s="180" t="s">
        <v>27</v>
      </c>
      <c r="G218" s="187" t="s">
        <v>31</v>
      </c>
      <c r="H218" s="180" t="s">
        <v>265</v>
      </c>
      <c r="I218" s="180" t="s">
        <v>38</v>
      </c>
      <c r="J218" s="189" t="s">
        <v>31</v>
      </c>
      <c r="K218" s="190"/>
      <c r="L218" s="168"/>
      <c r="M218" s="37"/>
      <c r="N218" s="113"/>
      <c r="O218" s="113"/>
      <c r="P218" s="113"/>
      <c r="Q218" s="113"/>
      <c r="R218" s="113"/>
      <c r="S218" s="113"/>
      <c r="T218" s="113"/>
      <c r="U218" s="113"/>
      <c r="V218" s="113"/>
      <c r="W218" s="113"/>
      <c r="X218" s="113"/>
      <c r="Y218" s="113"/>
      <c r="Z218" s="113"/>
      <c r="AA218" s="113"/>
      <c r="AB218" s="113"/>
    </row>
    <row r="219" spans="1:28" s="4" customFormat="1" ht="12.75" x14ac:dyDescent="0.2">
      <c r="A219" s="106"/>
      <c r="B219" s="108" t="s">
        <v>263</v>
      </c>
      <c r="C219" s="170"/>
      <c r="D219" s="170"/>
      <c r="E219" s="181"/>
      <c r="F219" s="181"/>
      <c r="G219" s="188"/>
      <c r="H219" s="181"/>
      <c r="I219" s="181"/>
      <c r="J219" s="191"/>
      <c r="K219" s="192"/>
      <c r="L219" s="168"/>
      <c r="M219" s="37"/>
      <c r="N219" s="113"/>
      <c r="O219" s="113"/>
      <c r="P219" s="113"/>
      <c r="Q219" s="113"/>
      <c r="R219" s="113"/>
      <c r="S219" s="113"/>
      <c r="T219" s="113"/>
      <c r="U219" s="113"/>
      <c r="V219" s="113"/>
      <c r="W219" s="113"/>
      <c r="X219" s="113"/>
      <c r="Y219" s="113"/>
      <c r="Z219" s="113"/>
      <c r="AA219" s="113"/>
      <c r="AB219" s="113"/>
    </row>
    <row r="220" spans="1:28" s="4" customFormat="1" ht="12.75" x14ac:dyDescent="0.2">
      <c r="A220" s="106"/>
      <c r="B220" s="64" t="s">
        <v>264</v>
      </c>
      <c r="C220" s="86">
        <v>1</v>
      </c>
      <c r="D220" s="86">
        <v>3</v>
      </c>
      <c r="E220" s="65">
        <v>4</v>
      </c>
      <c r="F220" s="65">
        <v>5</v>
      </c>
      <c r="G220" s="65">
        <v>6</v>
      </c>
      <c r="H220" s="65">
        <v>7</v>
      </c>
      <c r="I220" s="65">
        <v>8</v>
      </c>
      <c r="J220" s="176">
        <v>9</v>
      </c>
      <c r="K220" s="177"/>
      <c r="L220" s="64">
        <v>10</v>
      </c>
      <c r="M220" s="38"/>
      <c r="N220" s="113"/>
      <c r="O220" s="113"/>
      <c r="P220" s="113"/>
      <c r="Q220" s="113"/>
      <c r="R220" s="113"/>
      <c r="S220" s="113"/>
      <c r="T220" s="113"/>
      <c r="U220" s="113"/>
      <c r="V220" s="113"/>
      <c r="W220" s="113"/>
      <c r="X220" s="113"/>
      <c r="Y220" s="113"/>
      <c r="Z220" s="113"/>
      <c r="AA220" s="113"/>
      <c r="AB220" s="113"/>
    </row>
    <row r="221" spans="1:28" s="4" customFormat="1" ht="12.75" x14ac:dyDescent="0.2">
      <c r="A221" s="106"/>
      <c r="B221" s="22" t="s">
        <v>126</v>
      </c>
      <c r="C221" s="23">
        <v>0</v>
      </c>
      <c r="D221" s="66">
        <f>IF(C221=0,0,(C221/$C$232))</f>
        <v>0</v>
      </c>
      <c r="E221" s="97">
        <v>0.2</v>
      </c>
      <c r="F221" s="67">
        <f t="shared" ref="F221:F231" si="12">+D221*E221</f>
        <v>0</v>
      </c>
      <c r="G221" s="68">
        <f t="shared" ref="G221:G231" si="13">+(F221*$L$215)/12</f>
        <v>0</v>
      </c>
      <c r="H221" s="98">
        <v>0.2</v>
      </c>
      <c r="I221" s="69">
        <f t="shared" ref="I221:I231" si="14">+H221*D221</f>
        <v>0</v>
      </c>
      <c r="J221" s="178">
        <f>+I221*$E$215</f>
        <v>0</v>
      </c>
      <c r="K221" s="178"/>
      <c r="L221" s="70">
        <f t="shared" ref="L221:L231" si="15">IF(J221="","",J221*((1+$H$143)^0.0833-1))</f>
        <v>0</v>
      </c>
      <c r="M221" s="37"/>
      <c r="N221" s="113"/>
      <c r="O221" s="113"/>
      <c r="P221" s="113"/>
      <c r="Q221" s="113"/>
      <c r="R221" s="113"/>
      <c r="S221" s="113"/>
      <c r="T221" s="113"/>
      <c r="U221" s="113"/>
      <c r="V221" s="113"/>
      <c r="W221" s="113"/>
      <c r="X221" s="113"/>
      <c r="Y221" s="113"/>
      <c r="Z221" s="113"/>
      <c r="AA221" s="113"/>
      <c r="AB221" s="113"/>
    </row>
    <row r="222" spans="1:28" s="4" customFormat="1" ht="12.75" x14ac:dyDescent="0.2">
      <c r="A222" s="106"/>
      <c r="B222" s="71" t="s">
        <v>125</v>
      </c>
      <c r="C222" s="23">
        <v>0</v>
      </c>
      <c r="D222" s="66">
        <f t="shared" ref="D222:D231" si="16">IF(C222=0,0,(C222/$C$232))</f>
        <v>0</v>
      </c>
      <c r="E222" s="97">
        <v>0.171429</v>
      </c>
      <c r="F222" s="67">
        <f t="shared" si="12"/>
        <v>0</v>
      </c>
      <c r="G222" s="68">
        <f t="shared" si="13"/>
        <v>0</v>
      </c>
      <c r="H222" s="99">
        <v>0.37142900000000001</v>
      </c>
      <c r="I222" s="72">
        <f t="shared" si="14"/>
        <v>0</v>
      </c>
      <c r="J222" s="179">
        <f t="shared" ref="J222:J231" si="17">+I222*$E$215</f>
        <v>0</v>
      </c>
      <c r="K222" s="179"/>
      <c r="L222" s="70">
        <f t="shared" si="15"/>
        <v>0</v>
      </c>
      <c r="M222" s="37"/>
      <c r="N222" s="113"/>
      <c r="O222" s="113"/>
      <c r="P222" s="113"/>
      <c r="Q222" s="113"/>
      <c r="R222" s="113"/>
      <c r="S222" s="113"/>
      <c r="T222" s="113"/>
      <c r="U222" s="113"/>
      <c r="V222" s="113"/>
      <c r="W222" s="113"/>
      <c r="X222" s="113"/>
      <c r="Y222" s="113"/>
      <c r="Z222" s="113"/>
      <c r="AA222" s="113"/>
      <c r="AB222" s="113"/>
    </row>
    <row r="223" spans="1:28" s="4" customFormat="1" ht="12.75" x14ac:dyDescent="0.2">
      <c r="A223" s="106"/>
      <c r="B223" s="71" t="s">
        <v>127</v>
      </c>
      <c r="C223" s="23">
        <v>0</v>
      </c>
      <c r="D223" s="66">
        <f t="shared" si="16"/>
        <v>0</v>
      </c>
      <c r="E223" s="97">
        <v>0.14285700000000001</v>
      </c>
      <c r="F223" s="67">
        <f t="shared" si="12"/>
        <v>0</v>
      </c>
      <c r="G223" s="68">
        <f t="shared" si="13"/>
        <v>0</v>
      </c>
      <c r="H223" s="99">
        <v>0.51428600000000002</v>
      </c>
      <c r="I223" s="72">
        <f t="shared" si="14"/>
        <v>0</v>
      </c>
      <c r="J223" s="179">
        <f t="shared" si="17"/>
        <v>0</v>
      </c>
      <c r="K223" s="179"/>
      <c r="L223" s="70">
        <f t="shared" si="15"/>
        <v>0</v>
      </c>
      <c r="M223" s="37"/>
      <c r="N223" s="113"/>
      <c r="O223" s="113"/>
      <c r="P223" s="113"/>
      <c r="Q223" s="113"/>
      <c r="R223" s="113"/>
      <c r="S223" s="113"/>
      <c r="T223" s="113"/>
      <c r="U223" s="113"/>
      <c r="V223" s="113"/>
      <c r="W223" s="113"/>
      <c r="X223" s="113"/>
      <c r="Y223" s="113"/>
      <c r="Z223" s="113"/>
      <c r="AA223" s="113"/>
      <c r="AB223" s="113"/>
    </row>
    <row r="224" spans="1:28" s="4" customFormat="1" ht="12.75" x14ac:dyDescent="0.2">
      <c r="A224" s="106"/>
      <c r="B224" s="71" t="s">
        <v>128</v>
      </c>
      <c r="C224" s="23">
        <v>0</v>
      </c>
      <c r="D224" s="66">
        <f t="shared" si="16"/>
        <v>0</v>
      </c>
      <c r="E224" s="97">
        <v>0.1142886</v>
      </c>
      <c r="F224" s="67">
        <f t="shared" si="12"/>
        <v>0</v>
      </c>
      <c r="G224" s="68">
        <f t="shared" si="13"/>
        <v>0</v>
      </c>
      <c r="H224" s="99">
        <v>0.62857099999999999</v>
      </c>
      <c r="I224" s="72">
        <f t="shared" si="14"/>
        <v>0</v>
      </c>
      <c r="J224" s="179">
        <f t="shared" si="17"/>
        <v>0</v>
      </c>
      <c r="K224" s="179"/>
      <c r="L224" s="70">
        <f t="shared" si="15"/>
        <v>0</v>
      </c>
      <c r="M224" s="37"/>
      <c r="N224" s="113"/>
      <c r="O224" s="113"/>
      <c r="P224" s="113"/>
      <c r="Q224" s="113"/>
      <c r="R224" s="113"/>
      <c r="S224" s="113"/>
      <c r="T224" s="113"/>
      <c r="U224" s="113"/>
      <c r="V224" s="113"/>
      <c r="W224" s="113"/>
      <c r="X224" s="113"/>
      <c r="Y224" s="113"/>
      <c r="Z224" s="113"/>
      <c r="AA224" s="113"/>
      <c r="AB224" s="113"/>
    </row>
    <row r="225" spans="1:28" s="4" customFormat="1" ht="12.75" x14ac:dyDescent="0.2">
      <c r="A225" s="106"/>
      <c r="B225" s="71" t="s">
        <v>129</v>
      </c>
      <c r="C225" s="23">
        <v>6</v>
      </c>
      <c r="D225" s="66">
        <f t="shared" si="16"/>
        <v>1</v>
      </c>
      <c r="E225" s="97">
        <v>8.5713999999999999E-2</v>
      </c>
      <c r="F225" s="67">
        <f t="shared" si="12"/>
        <v>8.5713999999999999E-2</v>
      </c>
      <c r="G225" s="68">
        <f t="shared" si="13"/>
        <v>4934.0902672633329</v>
      </c>
      <c r="H225" s="99">
        <v>0.71428599999999998</v>
      </c>
      <c r="I225" s="72">
        <f t="shared" si="14"/>
        <v>0.71428599999999998</v>
      </c>
      <c r="J225" s="179">
        <f t="shared" si="17"/>
        <v>504028.77304</v>
      </c>
      <c r="K225" s="179"/>
      <c r="L225" s="70">
        <f t="shared" si="15"/>
        <v>7713.3035686849325</v>
      </c>
      <c r="M225" s="37"/>
      <c r="N225" s="113"/>
      <c r="O225" s="113"/>
      <c r="P225" s="113"/>
      <c r="Q225" s="113"/>
      <c r="R225" s="113"/>
      <c r="S225" s="113"/>
      <c r="T225" s="113"/>
      <c r="U225" s="113"/>
      <c r="V225" s="113"/>
      <c r="W225" s="113"/>
      <c r="X225" s="113"/>
      <c r="Y225" s="113"/>
      <c r="Z225" s="113"/>
      <c r="AA225" s="113"/>
      <c r="AB225" s="113"/>
    </row>
    <row r="226" spans="1:28" s="4" customFormat="1" ht="12.75" x14ac:dyDescent="0.2">
      <c r="A226" s="106"/>
      <c r="B226" s="71" t="s">
        <v>130</v>
      </c>
      <c r="C226" s="23">
        <v>0</v>
      </c>
      <c r="D226" s="66">
        <f t="shared" si="16"/>
        <v>0</v>
      </c>
      <c r="E226" s="97">
        <v>5.7142999999999999E-2</v>
      </c>
      <c r="F226" s="67">
        <f t="shared" si="12"/>
        <v>0</v>
      </c>
      <c r="G226" s="68">
        <f t="shared" si="13"/>
        <v>0</v>
      </c>
      <c r="H226" s="99">
        <v>0.77142900000000003</v>
      </c>
      <c r="I226" s="72">
        <f t="shared" si="14"/>
        <v>0</v>
      </c>
      <c r="J226" s="179">
        <f t="shared" si="17"/>
        <v>0</v>
      </c>
      <c r="K226" s="179"/>
      <c r="L226" s="70">
        <f t="shared" si="15"/>
        <v>0</v>
      </c>
      <c r="M226" s="37"/>
      <c r="N226" s="113"/>
      <c r="O226" s="113"/>
      <c r="P226" s="113"/>
      <c r="Q226" s="113"/>
      <c r="R226" s="113"/>
      <c r="S226" s="113"/>
      <c r="T226" s="113"/>
      <c r="U226" s="113"/>
      <c r="V226" s="113"/>
      <c r="W226" s="113"/>
      <c r="X226" s="113"/>
      <c r="Y226" s="113"/>
      <c r="Z226" s="113"/>
      <c r="AA226" s="113"/>
      <c r="AB226" s="113"/>
    </row>
    <row r="227" spans="1:28" s="4" customFormat="1" ht="12.75" x14ac:dyDescent="0.2">
      <c r="A227" s="106"/>
      <c r="B227" s="71" t="s">
        <v>131</v>
      </c>
      <c r="C227" s="23">
        <v>0</v>
      </c>
      <c r="D227" s="66">
        <f t="shared" si="16"/>
        <v>0</v>
      </c>
      <c r="E227" s="97">
        <v>2.8570999999999999E-2</v>
      </c>
      <c r="F227" s="67">
        <f t="shared" si="12"/>
        <v>0</v>
      </c>
      <c r="G227" s="68">
        <f t="shared" si="13"/>
        <v>0</v>
      </c>
      <c r="H227" s="99">
        <v>0.8</v>
      </c>
      <c r="I227" s="72">
        <f t="shared" si="14"/>
        <v>0</v>
      </c>
      <c r="J227" s="179">
        <f t="shared" si="17"/>
        <v>0</v>
      </c>
      <c r="K227" s="179"/>
      <c r="L227" s="70">
        <f t="shared" si="15"/>
        <v>0</v>
      </c>
      <c r="M227" s="37"/>
      <c r="N227" s="113"/>
      <c r="O227" s="113"/>
      <c r="P227" s="113"/>
      <c r="Q227" s="113"/>
      <c r="R227" s="113"/>
      <c r="S227" s="113"/>
      <c r="T227" s="113"/>
      <c r="U227" s="113"/>
      <c r="V227" s="113"/>
      <c r="W227" s="113"/>
      <c r="X227" s="113"/>
      <c r="Y227" s="113"/>
      <c r="Z227" s="113"/>
      <c r="AA227" s="113"/>
      <c r="AB227" s="113"/>
    </row>
    <row r="228" spans="1:28" s="4" customFormat="1" ht="12.75" x14ac:dyDescent="0.2">
      <c r="A228" s="106"/>
      <c r="B228" s="71" t="s">
        <v>132</v>
      </c>
      <c r="C228" s="23">
        <v>0</v>
      </c>
      <c r="D228" s="66">
        <f t="shared" si="16"/>
        <v>0</v>
      </c>
      <c r="E228" s="7">
        <v>0</v>
      </c>
      <c r="F228" s="67">
        <f t="shared" si="12"/>
        <v>0</v>
      </c>
      <c r="G228" s="68">
        <f t="shared" si="13"/>
        <v>0</v>
      </c>
      <c r="H228" s="99">
        <v>0.8</v>
      </c>
      <c r="I228" s="72">
        <v>0</v>
      </c>
      <c r="J228" s="179">
        <f t="shared" si="17"/>
        <v>0</v>
      </c>
      <c r="K228" s="179"/>
      <c r="L228" s="70">
        <f t="shared" si="15"/>
        <v>0</v>
      </c>
      <c r="M228" s="37"/>
      <c r="N228" s="113"/>
      <c r="O228" s="113"/>
      <c r="P228" s="113"/>
      <c r="Q228" s="113"/>
      <c r="R228" s="113"/>
      <c r="S228" s="113"/>
      <c r="T228" s="113"/>
      <c r="U228" s="113"/>
      <c r="V228" s="113"/>
      <c r="W228" s="113"/>
      <c r="X228" s="113"/>
      <c r="Y228" s="113"/>
      <c r="Z228" s="113"/>
      <c r="AA228" s="113"/>
      <c r="AB228" s="113"/>
    </row>
    <row r="229" spans="1:28" s="4" customFormat="1" ht="12.75" x14ac:dyDescent="0.2">
      <c r="A229" s="106"/>
      <c r="B229" s="71" t="s">
        <v>133</v>
      </c>
      <c r="C229" s="23">
        <v>0</v>
      </c>
      <c r="D229" s="66">
        <f t="shared" si="16"/>
        <v>0</v>
      </c>
      <c r="E229" s="7">
        <v>0</v>
      </c>
      <c r="F229" s="67">
        <f t="shared" si="12"/>
        <v>0</v>
      </c>
      <c r="G229" s="68">
        <f t="shared" si="13"/>
        <v>0</v>
      </c>
      <c r="H229" s="99">
        <v>0.8</v>
      </c>
      <c r="I229" s="72">
        <f t="shared" si="14"/>
        <v>0</v>
      </c>
      <c r="J229" s="179">
        <f t="shared" si="17"/>
        <v>0</v>
      </c>
      <c r="K229" s="179"/>
      <c r="L229" s="70">
        <f t="shared" si="15"/>
        <v>0</v>
      </c>
      <c r="M229" s="37"/>
      <c r="N229" s="113"/>
      <c r="O229" s="113"/>
      <c r="P229" s="113"/>
      <c r="Q229" s="113"/>
      <c r="R229" s="113"/>
      <c r="S229" s="113"/>
      <c r="T229" s="113"/>
      <c r="U229" s="113"/>
      <c r="V229" s="113"/>
      <c r="W229" s="113"/>
      <c r="X229" s="113"/>
      <c r="Y229" s="113"/>
      <c r="Z229" s="113"/>
      <c r="AA229" s="113"/>
      <c r="AB229" s="113"/>
    </row>
    <row r="230" spans="1:28" s="4" customFormat="1" ht="12.75" x14ac:dyDescent="0.2">
      <c r="A230" s="106"/>
      <c r="B230" s="71" t="s">
        <v>134</v>
      </c>
      <c r="C230" s="23">
        <v>0</v>
      </c>
      <c r="D230" s="66">
        <f t="shared" si="16"/>
        <v>0</v>
      </c>
      <c r="E230" s="7">
        <v>0</v>
      </c>
      <c r="F230" s="67">
        <f t="shared" si="12"/>
        <v>0</v>
      </c>
      <c r="G230" s="68">
        <f t="shared" si="13"/>
        <v>0</v>
      </c>
      <c r="H230" s="99">
        <v>0.8</v>
      </c>
      <c r="I230" s="72">
        <f t="shared" si="14"/>
        <v>0</v>
      </c>
      <c r="J230" s="179">
        <f t="shared" si="17"/>
        <v>0</v>
      </c>
      <c r="K230" s="179"/>
      <c r="L230" s="70">
        <f t="shared" si="15"/>
        <v>0</v>
      </c>
      <c r="M230" s="37"/>
      <c r="N230" s="113"/>
      <c r="O230" s="113"/>
      <c r="P230" s="113"/>
      <c r="Q230" s="113"/>
      <c r="R230" s="113"/>
      <c r="S230" s="113"/>
      <c r="T230" s="113"/>
      <c r="U230" s="113"/>
      <c r="V230" s="113"/>
      <c r="W230" s="113"/>
      <c r="X230" s="113"/>
      <c r="Y230" s="113"/>
      <c r="Z230" s="113"/>
      <c r="AA230" s="113"/>
      <c r="AB230" s="113"/>
    </row>
    <row r="231" spans="1:28" s="4" customFormat="1" ht="12.75" x14ac:dyDescent="0.2">
      <c r="A231" s="106"/>
      <c r="B231" s="71" t="s">
        <v>135</v>
      </c>
      <c r="C231" s="23">
        <v>0</v>
      </c>
      <c r="D231" s="66">
        <f t="shared" si="16"/>
        <v>0</v>
      </c>
      <c r="E231" s="67">
        <v>0</v>
      </c>
      <c r="F231" s="67">
        <f t="shared" si="12"/>
        <v>0</v>
      </c>
      <c r="G231" s="68">
        <f t="shared" si="13"/>
        <v>0</v>
      </c>
      <c r="H231" s="99">
        <v>0.8</v>
      </c>
      <c r="I231" s="72">
        <f t="shared" si="14"/>
        <v>0</v>
      </c>
      <c r="J231" s="200">
        <f t="shared" si="17"/>
        <v>0</v>
      </c>
      <c r="K231" s="200"/>
      <c r="L231" s="70">
        <f t="shared" si="15"/>
        <v>0</v>
      </c>
      <c r="M231" s="37"/>
      <c r="N231" s="113"/>
      <c r="O231" s="113"/>
      <c r="P231" s="113"/>
      <c r="Q231" s="113"/>
      <c r="R231" s="113"/>
      <c r="S231" s="113"/>
      <c r="T231" s="113"/>
      <c r="U231" s="113"/>
      <c r="V231" s="113"/>
      <c r="W231" s="113"/>
      <c r="X231" s="113"/>
      <c r="Y231" s="113"/>
      <c r="Z231" s="113"/>
      <c r="AA231" s="113"/>
      <c r="AB231" s="113"/>
    </row>
    <row r="232" spans="1:28" s="4" customFormat="1" ht="12.75" x14ac:dyDescent="0.2">
      <c r="A232" s="106"/>
      <c r="B232" s="77" t="s">
        <v>0</v>
      </c>
      <c r="C232" s="24">
        <f>SUM(C221:C231)</f>
        <v>6</v>
      </c>
      <c r="D232" s="73">
        <f>SUM(D221:D231)</f>
        <v>1</v>
      </c>
      <c r="E232" s="50">
        <f>SUM(E221:E231)</f>
        <v>0.8000025999999999</v>
      </c>
      <c r="F232" s="50">
        <f>SUM(F221:F231)</f>
        <v>8.5713999999999999E-2</v>
      </c>
      <c r="G232" s="74">
        <f>SUM(G221:G231)</f>
        <v>4934.0902672633329</v>
      </c>
      <c r="H232" s="164"/>
      <c r="I232" s="165"/>
      <c r="J232" s="165"/>
      <c r="K232" s="166"/>
      <c r="L232" s="74">
        <f>SUM(L221:L231)</f>
        <v>7713.3035686849325</v>
      </c>
      <c r="M232" s="37"/>
      <c r="N232" s="113"/>
      <c r="O232" s="113"/>
      <c r="P232" s="113"/>
      <c r="Q232" s="113"/>
      <c r="R232" s="113"/>
      <c r="S232" s="113"/>
      <c r="T232" s="113"/>
      <c r="U232" s="113"/>
      <c r="V232" s="113"/>
      <c r="W232" s="113"/>
      <c r="X232" s="113"/>
      <c r="Y232" s="113"/>
      <c r="Z232" s="113"/>
      <c r="AA232" s="113"/>
      <c r="AB232" s="113"/>
    </row>
    <row r="233" spans="1:28" ht="14.25" x14ac:dyDescent="0.2">
      <c r="D233" s="4" t="s">
        <v>53</v>
      </c>
      <c r="G233" s="81" t="s">
        <v>53</v>
      </c>
      <c r="I233" s="106"/>
      <c r="J233" s="106"/>
      <c r="K233" s="106"/>
      <c r="L233" s="106" t="s">
        <v>53</v>
      </c>
      <c r="M233" s="37" t="s">
        <v>53</v>
      </c>
      <c r="N233" s="113">
        <f>+L232*L341/D346</f>
        <v>2.3459031734415294</v>
      </c>
    </row>
    <row r="234" spans="1:28" ht="12.75" x14ac:dyDescent="0.2">
      <c r="B234" s="25" t="s">
        <v>207</v>
      </c>
      <c r="C234" s="20"/>
      <c r="D234" s="20"/>
      <c r="E234" s="106"/>
      <c r="F234" s="106"/>
      <c r="G234" s="9"/>
      <c r="I234" s="107"/>
      <c r="J234" s="17"/>
      <c r="K234" s="17"/>
      <c r="L234" s="9"/>
    </row>
    <row r="235" spans="1:28" ht="12.75" x14ac:dyDescent="0.2">
      <c r="B235" s="14" t="s">
        <v>136</v>
      </c>
      <c r="C235" s="20"/>
      <c r="D235" s="20"/>
      <c r="E235" s="106"/>
      <c r="F235" s="106"/>
      <c r="G235" s="9"/>
      <c r="I235" s="107"/>
      <c r="J235" s="17"/>
      <c r="K235" s="17"/>
      <c r="L235" s="9"/>
    </row>
    <row r="236" spans="1:28" ht="12.75" x14ac:dyDescent="0.2">
      <c r="B236" s="14" t="s">
        <v>137</v>
      </c>
      <c r="C236" s="20"/>
      <c r="D236" s="20"/>
      <c r="E236" s="106"/>
      <c r="F236" s="106"/>
      <c r="G236" s="9"/>
      <c r="H236" s="159"/>
      <c r="I236" s="159"/>
      <c r="J236" s="159"/>
      <c r="K236" s="17"/>
      <c r="L236" s="9"/>
    </row>
    <row r="237" spans="1:28" ht="12.75" x14ac:dyDescent="0.2">
      <c r="B237" s="14" t="s">
        <v>138</v>
      </c>
      <c r="C237" s="20"/>
      <c r="D237" s="20"/>
      <c r="E237" s="106"/>
      <c r="F237" s="106"/>
      <c r="G237" s="9"/>
      <c r="H237" s="159"/>
      <c r="I237" s="159"/>
      <c r="J237" s="159"/>
      <c r="K237" s="17"/>
      <c r="L237" s="9"/>
    </row>
    <row r="238" spans="1:28" ht="12.75" x14ac:dyDescent="0.2">
      <c r="B238" s="14" t="s">
        <v>139</v>
      </c>
      <c r="C238" s="20"/>
      <c r="D238" s="20"/>
      <c r="E238" s="106"/>
      <c r="F238" s="106"/>
      <c r="G238" s="9"/>
      <c r="H238" s="159"/>
      <c r="I238" s="159"/>
      <c r="J238" s="159"/>
      <c r="K238" s="17"/>
      <c r="L238" s="9"/>
    </row>
    <row r="239" spans="1:28" ht="12.75" x14ac:dyDescent="0.2">
      <c r="A239" s="1"/>
      <c r="B239" s="14" t="s">
        <v>140</v>
      </c>
      <c r="C239" s="20"/>
      <c r="D239" s="20"/>
      <c r="E239" s="106"/>
      <c r="F239" s="106"/>
      <c r="G239" s="9"/>
      <c r="I239" s="107"/>
      <c r="J239" s="17"/>
      <c r="K239" s="17"/>
      <c r="L239" s="9"/>
    </row>
    <row r="240" spans="1:28" ht="12.75" x14ac:dyDescent="0.2">
      <c r="A240" s="1"/>
      <c r="B240" s="14" t="s">
        <v>141</v>
      </c>
      <c r="C240" s="20"/>
      <c r="D240" s="20"/>
      <c r="E240" s="106"/>
      <c r="F240" s="106"/>
      <c r="G240" s="9"/>
      <c r="I240" s="107"/>
      <c r="J240" s="17"/>
      <c r="K240" s="17"/>
      <c r="L240" s="9"/>
    </row>
    <row r="241" spans="1:16" ht="12.75" x14ac:dyDescent="0.2">
      <c r="A241" s="1"/>
      <c r="B241" s="14" t="s">
        <v>144</v>
      </c>
      <c r="C241" s="20"/>
      <c r="D241" s="20"/>
      <c r="E241" s="106"/>
      <c r="F241" s="106"/>
      <c r="G241" s="9"/>
      <c r="I241" s="107"/>
      <c r="J241" s="17"/>
      <c r="K241" s="17"/>
      <c r="L241" s="9"/>
    </row>
    <row r="242" spans="1:16" ht="12.75" x14ac:dyDescent="0.2">
      <c r="A242" s="1"/>
      <c r="B242" s="14" t="s">
        <v>142</v>
      </c>
      <c r="C242" s="20"/>
      <c r="D242" s="20"/>
      <c r="E242" s="106"/>
      <c r="F242" s="106"/>
      <c r="G242" s="9"/>
      <c r="I242" s="107"/>
      <c r="J242" s="17"/>
      <c r="K242" s="17"/>
      <c r="L242" s="9"/>
    </row>
    <row r="243" spans="1:16" ht="12.75" x14ac:dyDescent="0.2">
      <c r="A243" s="1"/>
      <c r="B243" s="14" t="s">
        <v>143</v>
      </c>
      <c r="C243" s="20"/>
      <c r="D243" s="20"/>
      <c r="E243" s="106"/>
      <c r="F243" s="106"/>
      <c r="G243" s="9"/>
      <c r="I243" s="107"/>
      <c r="J243" s="17"/>
      <c r="K243" s="17"/>
      <c r="L243" s="9"/>
    </row>
    <row r="244" spans="1:16" ht="12.75" x14ac:dyDescent="0.2">
      <c r="A244" s="1"/>
      <c r="B244" s="14"/>
      <c r="C244" s="20"/>
      <c r="D244" s="20"/>
      <c r="E244" s="106"/>
      <c r="F244" s="106"/>
      <c r="G244" s="9"/>
      <c r="I244" s="107"/>
      <c r="J244" s="17"/>
      <c r="K244" s="17"/>
      <c r="L244" s="9"/>
    </row>
    <row r="245" spans="1:16" ht="12.75" x14ac:dyDescent="0.2">
      <c r="A245" s="1"/>
      <c r="B245" s="14" t="s">
        <v>147</v>
      </c>
      <c r="C245" s="20"/>
      <c r="D245" s="20"/>
      <c r="E245" s="106"/>
      <c r="F245" s="106"/>
      <c r="G245" s="9"/>
      <c r="I245" s="107"/>
      <c r="J245" s="17"/>
      <c r="K245" s="26" t="s">
        <v>53</v>
      </c>
      <c r="L245" s="74">
        <f>+G232+L232</f>
        <v>12647.393835948265</v>
      </c>
      <c r="M245" s="37" t="s">
        <v>55</v>
      </c>
    </row>
    <row r="246" spans="1:16" ht="12.75" x14ac:dyDescent="0.2">
      <c r="A246" s="1"/>
      <c r="B246" s="14"/>
      <c r="C246" s="20"/>
      <c r="D246" s="20"/>
      <c r="E246" s="106"/>
      <c r="F246" s="106"/>
      <c r="G246" s="4"/>
      <c r="J246" s="17"/>
      <c r="L246" s="9"/>
    </row>
    <row r="247" spans="1:16" ht="12.75" x14ac:dyDescent="0.2">
      <c r="A247" s="1"/>
      <c r="C247" s="4" t="s">
        <v>148</v>
      </c>
      <c r="G247" s="106" t="s">
        <v>260</v>
      </c>
    </row>
    <row r="248" spans="1:16" ht="14.25" x14ac:dyDescent="0.2">
      <c r="A248" s="1"/>
      <c r="D248" s="4" t="s">
        <v>53</v>
      </c>
      <c r="G248" s="63"/>
      <c r="I248" s="106"/>
      <c r="J248" s="106"/>
      <c r="K248" s="106"/>
      <c r="L248" s="106"/>
      <c r="M248" s="37" t="s">
        <v>53</v>
      </c>
    </row>
    <row r="249" spans="1:16" ht="12.75" x14ac:dyDescent="0.2">
      <c r="A249" s="1"/>
      <c r="B249" s="14"/>
      <c r="C249" s="15" t="s">
        <v>64</v>
      </c>
      <c r="D249" s="16">
        <f>+L177</f>
        <v>9972.9293458225602</v>
      </c>
      <c r="E249" s="14" t="s">
        <v>51</v>
      </c>
      <c r="F249" s="106" t="s">
        <v>33</v>
      </c>
      <c r="G249" s="24">
        <f>+D341</f>
        <v>3</v>
      </c>
      <c r="I249" s="106" t="s">
        <v>107</v>
      </c>
      <c r="J249" s="17"/>
      <c r="L249" s="74">
        <f>+D249*G249</f>
        <v>29918.788037467682</v>
      </c>
    </row>
    <row r="250" spans="1:16" ht="12.75" x14ac:dyDescent="0.2">
      <c r="A250" s="1"/>
      <c r="B250" s="14"/>
      <c r="C250" s="15" t="s">
        <v>65</v>
      </c>
      <c r="D250" s="16">
        <f>+L211</f>
        <v>0</v>
      </c>
      <c r="E250" s="14" t="s">
        <v>54</v>
      </c>
      <c r="F250" s="106" t="s">
        <v>33</v>
      </c>
      <c r="G250" s="24">
        <f>+E341</f>
        <v>0</v>
      </c>
      <c r="I250" s="106" t="s">
        <v>107</v>
      </c>
      <c r="J250" s="17"/>
      <c r="L250" s="74">
        <f>+D250*G250</f>
        <v>0</v>
      </c>
    </row>
    <row r="251" spans="1:16" ht="12.75" x14ac:dyDescent="0.2">
      <c r="A251" s="1"/>
      <c r="B251" s="14"/>
      <c r="C251" s="15" t="s">
        <v>66</v>
      </c>
      <c r="D251" s="16">
        <f>+L245</f>
        <v>12647.393835948265</v>
      </c>
      <c r="E251" s="14" t="s">
        <v>55</v>
      </c>
      <c r="F251" s="106" t="s">
        <v>33</v>
      </c>
      <c r="G251" s="24">
        <f>+F341</f>
        <v>6</v>
      </c>
      <c r="I251" s="106" t="s">
        <v>107</v>
      </c>
      <c r="J251" s="17"/>
      <c r="L251" s="74">
        <f>+D251*G251</f>
        <v>75884.363015689596</v>
      </c>
    </row>
    <row r="252" spans="1:16" ht="14.25" x14ac:dyDescent="0.2">
      <c r="A252" s="1"/>
      <c r="D252" s="4" t="s">
        <v>53</v>
      </c>
      <c r="G252" s="63"/>
      <c r="I252" s="106"/>
      <c r="J252" s="106"/>
      <c r="K252" s="106"/>
      <c r="L252" s="106"/>
      <c r="M252" s="37" t="s">
        <v>53</v>
      </c>
    </row>
    <row r="253" spans="1:16" ht="12.75" x14ac:dyDescent="0.2">
      <c r="A253" s="1"/>
      <c r="B253" s="14"/>
      <c r="C253" s="20"/>
      <c r="D253" s="20"/>
      <c r="E253" s="106"/>
      <c r="F253" s="106" t="s">
        <v>0</v>
      </c>
      <c r="G253" s="77">
        <f>SUM(G249:G251)</f>
        <v>9</v>
      </c>
      <c r="H253" s="4" t="s">
        <v>149</v>
      </c>
      <c r="J253" s="17"/>
      <c r="L253" s="74">
        <f>+L249+L250+L251</f>
        <v>105803.15105315729</v>
      </c>
      <c r="M253" s="37" t="s">
        <v>216</v>
      </c>
    </row>
    <row r="254" spans="1:16" ht="14.25" x14ac:dyDescent="0.2">
      <c r="A254" s="1"/>
      <c r="D254" s="4" t="s">
        <v>53</v>
      </c>
      <c r="G254" s="81"/>
      <c r="I254" s="106"/>
      <c r="J254" s="106"/>
      <c r="K254" s="106"/>
      <c r="L254" s="106"/>
      <c r="M254" s="37" t="s">
        <v>53</v>
      </c>
    </row>
    <row r="255" spans="1:16" ht="12.75" x14ac:dyDescent="0.2">
      <c r="B255" s="14"/>
      <c r="C255" s="20"/>
      <c r="D255" s="20"/>
      <c r="E255" s="106"/>
      <c r="F255" s="14" t="s">
        <v>215</v>
      </c>
      <c r="G255" s="4"/>
      <c r="J255" s="17"/>
      <c r="L255" s="74">
        <f>+(D249*G249+D250*G250+D251*G251)/G253</f>
        <v>11755.905672573032</v>
      </c>
      <c r="M255" s="37" t="s">
        <v>217</v>
      </c>
      <c r="N255" s="127"/>
      <c r="O255" s="127"/>
      <c r="P255" s="127"/>
    </row>
    <row r="256" spans="1:16" ht="12.75" x14ac:dyDescent="0.2">
      <c r="B256" s="14"/>
      <c r="C256" s="20"/>
      <c r="D256" s="20"/>
      <c r="E256" s="106"/>
      <c r="F256" s="14"/>
      <c r="G256" s="4"/>
      <c r="J256" s="17"/>
      <c r="L256" s="34"/>
    </row>
    <row r="257" spans="2:13" ht="12.75" x14ac:dyDescent="0.2">
      <c r="B257" s="4" t="s">
        <v>57</v>
      </c>
      <c r="G257" s="4"/>
    </row>
    <row r="258" spans="2:13" ht="12.75" x14ac:dyDescent="0.2">
      <c r="C258" s="20"/>
      <c r="D258" s="20"/>
      <c r="E258" s="106"/>
      <c r="F258" s="106"/>
      <c r="G258" s="9"/>
      <c r="I258" s="107"/>
      <c r="J258" s="17"/>
      <c r="K258" s="17"/>
      <c r="L258" s="9"/>
    </row>
    <row r="259" spans="2:13" ht="12.75" x14ac:dyDescent="0.2">
      <c r="C259" s="4" t="s">
        <v>58</v>
      </c>
      <c r="G259" s="4"/>
    </row>
    <row r="260" spans="2:13" ht="14.25" x14ac:dyDescent="0.2">
      <c r="D260" s="4" t="s">
        <v>53</v>
      </c>
      <c r="G260" s="63"/>
      <c r="I260" s="106"/>
      <c r="J260" s="106"/>
      <c r="K260" s="106"/>
      <c r="L260" s="106"/>
      <c r="M260" s="37" t="s">
        <v>53</v>
      </c>
    </row>
    <row r="261" spans="2:13" ht="12.75" x14ac:dyDescent="0.2">
      <c r="G261" s="106" t="s">
        <v>261</v>
      </c>
      <c r="I261" s="106" t="s">
        <v>157</v>
      </c>
    </row>
    <row r="262" spans="2:13" ht="14.25" x14ac:dyDescent="0.2">
      <c r="D262" s="4" t="s">
        <v>53</v>
      </c>
      <c r="G262" s="81"/>
      <c r="I262" s="106"/>
      <c r="J262" s="106"/>
      <c r="K262" s="106"/>
      <c r="L262" s="106"/>
      <c r="M262" s="37" t="s">
        <v>53</v>
      </c>
    </row>
    <row r="263" spans="2:13" ht="12.75" x14ac:dyDescent="0.2">
      <c r="E263" s="100">
        <v>2.9999999999999997E-4</v>
      </c>
      <c r="F263" s="106" t="s">
        <v>33</v>
      </c>
      <c r="G263" s="16">
        <f>(E147*G249+E181*G250+E215*G251)/G253</f>
        <v>656315.02</v>
      </c>
      <c r="H263" s="106" t="s">
        <v>34</v>
      </c>
      <c r="I263" s="16">
        <f>+E263*G263</f>
        <v>196.89450599999998</v>
      </c>
      <c r="J263" s="4" t="s">
        <v>218</v>
      </c>
    </row>
    <row r="264" spans="2:13" ht="12.75" x14ac:dyDescent="0.2">
      <c r="E264" s="105"/>
      <c r="G264" s="4"/>
    </row>
    <row r="265" spans="2:13" ht="12.75" x14ac:dyDescent="0.2">
      <c r="C265" s="4" t="s">
        <v>59</v>
      </c>
      <c r="E265" s="105"/>
      <c r="G265" s="4"/>
    </row>
    <row r="266" spans="2:13" ht="12.75" x14ac:dyDescent="0.2">
      <c r="E266" s="105"/>
      <c r="G266" s="4"/>
    </row>
    <row r="267" spans="2:13" ht="12.75" x14ac:dyDescent="0.2">
      <c r="E267" s="105"/>
      <c r="G267" s="106" t="s">
        <v>261</v>
      </c>
      <c r="I267" s="106" t="s">
        <v>157</v>
      </c>
    </row>
    <row r="268" spans="2:13" ht="14.25" x14ac:dyDescent="0.2">
      <c r="D268" s="4" t="s">
        <v>53</v>
      </c>
      <c r="E268" s="105"/>
      <c r="G268" s="63"/>
      <c r="I268" s="106"/>
      <c r="J268" s="106"/>
      <c r="K268" s="106"/>
      <c r="L268" s="106"/>
      <c r="M268" s="37" t="s">
        <v>53</v>
      </c>
    </row>
    <row r="269" spans="2:13" ht="12.75" x14ac:dyDescent="0.2">
      <c r="E269" s="101">
        <v>4.0000000000000002E-4</v>
      </c>
      <c r="F269" s="106" t="s">
        <v>33</v>
      </c>
      <c r="G269" s="16">
        <f>(E147*G249+E181*G250+E215*G251)/G253</f>
        <v>656315.02</v>
      </c>
      <c r="H269" s="106" t="s">
        <v>34</v>
      </c>
      <c r="I269" s="16">
        <f>+E269*G269</f>
        <v>262.52600800000005</v>
      </c>
      <c r="J269" s="4" t="s">
        <v>53</v>
      </c>
    </row>
    <row r="270" spans="2:13" ht="14.25" x14ac:dyDescent="0.2">
      <c r="D270" s="4" t="s">
        <v>53</v>
      </c>
      <c r="E270" s="105"/>
      <c r="G270" s="63"/>
      <c r="I270" s="106"/>
      <c r="J270" s="106"/>
      <c r="K270" s="106"/>
      <c r="L270" s="106"/>
      <c r="M270" s="37" t="s">
        <v>53</v>
      </c>
    </row>
    <row r="271" spans="2:13" ht="12.75" x14ac:dyDescent="0.2">
      <c r="C271" s="4" t="s">
        <v>153</v>
      </c>
      <c r="E271" s="105"/>
      <c r="G271" s="4"/>
      <c r="I271" s="16">
        <f>+I263+I269</f>
        <v>459.42051400000003</v>
      </c>
      <c r="J271" s="4" t="s">
        <v>219</v>
      </c>
    </row>
    <row r="272" spans="2:13" ht="12.75" x14ac:dyDescent="0.2">
      <c r="E272" s="105"/>
      <c r="G272" s="4"/>
    </row>
    <row r="273" spans="1:28" ht="12.75" x14ac:dyDescent="0.2">
      <c r="B273" s="4" t="s">
        <v>60</v>
      </c>
      <c r="E273" s="105"/>
      <c r="G273" s="4"/>
    </row>
    <row r="274" spans="1:28" ht="12.75" x14ac:dyDescent="0.2">
      <c r="E274" s="105"/>
      <c r="G274" s="4"/>
    </row>
    <row r="275" spans="1:28" ht="12.75" x14ac:dyDescent="0.2">
      <c r="E275" s="87" t="s">
        <v>53</v>
      </c>
      <c r="G275" s="106" t="s">
        <v>261</v>
      </c>
      <c r="I275" s="106" t="s">
        <v>157</v>
      </c>
    </row>
    <row r="276" spans="1:28" ht="14.25" x14ac:dyDescent="0.2">
      <c r="D276" s="4" t="s">
        <v>53</v>
      </c>
      <c r="E276" s="105"/>
      <c r="G276" s="63"/>
      <c r="I276" s="106"/>
      <c r="J276" s="106"/>
      <c r="K276" s="106"/>
      <c r="L276" s="106"/>
      <c r="M276" s="37" t="s">
        <v>53</v>
      </c>
    </row>
    <row r="277" spans="1:28" ht="12.75" x14ac:dyDescent="0.2">
      <c r="E277" s="100">
        <v>1E-4</v>
      </c>
      <c r="F277" s="106" t="s">
        <v>33</v>
      </c>
      <c r="G277" s="16">
        <f>(E147*G249+E181*G250+E215*G251)/G253</f>
        <v>656315.02</v>
      </c>
      <c r="H277" s="106" t="s">
        <v>34</v>
      </c>
      <c r="I277" s="16">
        <f>+E277*G277</f>
        <v>65.631502000000012</v>
      </c>
      <c r="J277" s="4" t="s">
        <v>220</v>
      </c>
    </row>
    <row r="278" spans="1:28" ht="12.75" x14ac:dyDescent="0.2">
      <c r="C278" s="20"/>
      <c r="D278" s="20"/>
      <c r="E278" s="87"/>
      <c r="F278" s="106"/>
      <c r="G278" s="9"/>
      <c r="I278" s="107"/>
      <c r="J278" s="17"/>
      <c r="K278" s="17"/>
      <c r="L278" s="9"/>
    </row>
    <row r="279" spans="1:28" ht="12.75" x14ac:dyDescent="0.2">
      <c r="B279" s="14" t="s">
        <v>154</v>
      </c>
      <c r="E279" s="105"/>
      <c r="G279" s="4"/>
    </row>
    <row r="280" spans="1:28" ht="12.75" x14ac:dyDescent="0.2">
      <c r="E280" s="105"/>
      <c r="G280" s="4"/>
    </row>
    <row r="281" spans="1:28" ht="12.75" x14ac:dyDescent="0.2">
      <c r="E281" s="87" t="s">
        <v>53</v>
      </c>
      <c r="G281" s="106" t="s">
        <v>261</v>
      </c>
      <c r="I281" s="106" t="s">
        <v>157</v>
      </c>
      <c r="J281" s="3"/>
    </row>
    <row r="282" spans="1:28" ht="14.25" x14ac:dyDescent="0.2">
      <c r="D282" s="4" t="s">
        <v>53</v>
      </c>
      <c r="E282" s="105"/>
      <c r="G282" s="63"/>
      <c r="I282" s="106"/>
      <c r="J282" s="106"/>
      <c r="K282" s="106"/>
      <c r="L282" s="106"/>
      <c r="M282" s="37" t="s">
        <v>53</v>
      </c>
    </row>
    <row r="283" spans="1:28" ht="12.75" x14ac:dyDescent="0.2">
      <c r="E283" s="100">
        <f>+'INDICES '!D39</f>
        <v>1.6999999999999999E-3</v>
      </c>
      <c r="F283" s="106" t="s">
        <v>33</v>
      </c>
      <c r="G283" s="16">
        <f>(E147*G249+E181*G250+E215*G251)/G253</f>
        <v>656315.02</v>
      </c>
      <c r="H283" s="106" t="s">
        <v>34</v>
      </c>
      <c r="I283" s="16">
        <f>+E283*G283</f>
        <v>1115.7355339999999</v>
      </c>
      <c r="J283" s="4" t="s">
        <v>221</v>
      </c>
    </row>
    <row r="284" spans="1:28" ht="12.75" x14ac:dyDescent="0.2">
      <c r="D284" s="7"/>
      <c r="G284" s="35"/>
      <c r="I284" s="36"/>
      <c r="L284" s="9"/>
    </row>
    <row r="285" spans="1:28" s="4" customFormat="1" ht="12.75" x14ac:dyDescent="0.2">
      <c r="A285" s="106"/>
      <c r="B285" s="4" t="s">
        <v>155</v>
      </c>
      <c r="M285" s="37"/>
      <c r="N285" s="113"/>
      <c r="O285" s="113"/>
      <c r="P285" s="113"/>
      <c r="Q285" s="113"/>
      <c r="R285" s="113"/>
      <c r="S285" s="113"/>
      <c r="T285" s="113"/>
      <c r="U285" s="113"/>
      <c r="V285" s="113"/>
      <c r="W285" s="113"/>
      <c r="X285" s="113"/>
      <c r="Y285" s="113"/>
      <c r="Z285" s="113"/>
      <c r="AA285" s="113"/>
      <c r="AB285" s="113"/>
    </row>
    <row r="286" spans="1:28" s="4" customFormat="1" ht="12.75" x14ac:dyDescent="0.2">
      <c r="A286" s="106"/>
      <c r="M286" s="37"/>
      <c r="N286" s="113"/>
      <c r="O286" s="113"/>
      <c r="P286" s="113"/>
      <c r="Q286" s="113"/>
      <c r="R286" s="113"/>
      <c r="S286" s="113"/>
      <c r="T286" s="113"/>
      <c r="U286" s="113"/>
      <c r="V286" s="113"/>
      <c r="W286" s="113"/>
      <c r="X286" s="113"/>
      <c r="Y286" s="113"/>
      <c r="Z286" s="113"/>
      <c r="AA286" s="113"/>
      <c r="AB286" s="113"/>
    </row>
    <row r="287" spans="1:28" s="4" customFormat="1" ht="12.75" x14ac:dyDescent="0.2">
      <c r="A287" s="106"/>
      <c r="C287" s="4" t="s">
        <v>156</v>
      </c>
      <c r="F287" s="106" t="s">
        <v>53</v>
      </c>
      <c r="G287" s="106" t="s">
        <v>158</v>
      </c>
      <c r="I287" s="4" t="s">
        <v>53</v>
      </c>
      <c r="J287" s="106" t="s">
        <v>160</v>
      </c>
      <c r="K287" s="106" t="s">
        <v>53</v>
      </c>
      <c r="M287" s="37"/>
      <c r="N287" s="113"/>
      <c r="O287" s="113"/>
      <c r="P287" s="113"/>
      <c r="Q287" s="113"/>
      <c r="R287" s="113"/>
      <c r="S287" s="113"/>
      <c r="T287" s="113"/>
      <c r="U287" s="113"/>
      <c r="V287" s="113"/>
      <c r="W287" s="113"/>
      <c r="X287" s="113"/>
      <c r="Y287" s="113"/>
      <c r="Z287" s="113"/>
      <c r="AA287" s="113"/>
      <c r="AB287" s="113"/>
    </row>
    <row r="288" spans="1:28" s="4" customFormat="1" ht="14.25" x14ac:dyDescent="0.2">
      <c r="A288" s="106"/>
      <c r="D288" s="4" t="s">
        <v>53</v>
      </c>
      <c r="G288" s="63"/>
      <c r="I288" s="106"/>
      <c r="J288" s="106"/>
      <c r="K288" s="106"/>
      <c r="L288" s="106"/>
      <c r="M288" s="37" t="s">
        <v>53</v>
      </c>
      <c r="N288" s="113"/>
      <c r="O288" s="113"/>
      <c r="P288" s="113"/>
      <c r="Q288" s="113"/>
      <c r="R288" s="113"/>
      <c r="S288" s="113"/>
      <c r="T288" s="113"/>
      <c r="U288" s="113"/>
      <c r="V288" s="113"/>
      <c r="W288" s="113"/>
      <c r="X288" s="113"/>
      <c r="Y288" s="113"/>
      <c r="Z288" s="113"/>
      <c r="AA288" s="113"/>
      <c r="AB288" s="113"/>
    </row>
    <row r="289" spans="1:15" ht="12.75" x14ac:dyDescent="0.2">
      <c r="C289" s="201" t="s">
        <v>159</v>
      </c>
      <c r="D289" s="201"/>
      <c r="F289" s="106" t="s">
        <v>53</v>
      </c>
      <c r="G289" s="16">
        <v>0</v>
      </c>
      <c r="I289" s="14" t="s">
        <v>46</v>
      </c>
      <c r="K289" s="106" t="s">
        <v>34</v>
      </c>
      <c r="L289" s="16">
        <f>+G289/J293</f>
        <v>0</v>
      </c>
    </row>
    <row r="290" spans="1:15" ht="12.75" x14ac:dyDescent="0.2">
      <c r="A290" s="4"/>
      <c r="G290" s="4"/>
    </row>
    <row r="291" spans="1:15" ht="12.75" x14ac:dyDescent="0.2">
      <c r="A291" s="4"/>
      <c r="C291" s="4" t="s">
        <v>161</v>
      </c>
      <c r="F291" s="106" t="s">
        <v>53</v>
      </c>
      <c r="G291" s="106" t="s">
        <v>53</v>
      </c>
      <c r="I291" s="4" t="s">
        <v>53</v>
      </c>
      <c r="J291" s="106" t="s">
        <v>53</v>
      </c>
      <c r="K291" s="106" t="s">
        <v>53</v>
      </c>
    </row>
    <row r="292" spans="1:15" ht="14.25" x14ac:dyDescent="0.2">
      <c r="A292" s="4"/>
      <c r="D292" s="4" t="s">
        <v>53</v>
      </c>
      <c r="G292" s="63"/>
      <c r="I292" s="106"/>
      <c r="J292" s="106"/>
      <c r="K292" s="106"/>
      <c r="L292" s="106"/>
      <c r="M292" s="37" t="s">
        <v>53</v>
      </c>
    </row>
    <row r="293" spans="1:15" ht="12.75" x14ac:dyDescent="0.2">
      <c r="A293" s="4"/>
      <c r="C293" s="201" t="s">
        <v>162</v>
      </c>
      <c r="D293" s="201"/>
      <c r="E293" s="4" t="s">
        <v>327</v>
      </c>
      <c r="F293" s="106"/>
      <c r="G293" s="151">
        <f>0.01*(E147*G249+E181*G250+E215*G251)/G253</f>
        <v>6563.1502</v>
      </c>
      <c r="I293" s="14" t="s">
        <v>46</v>
      </c>
      <c r="J293" s="100">
        <v>12</v>
      </c>
      <c r="K293" s="106" t="s">
        <v>34</v>
      </c>
      <c r="L293" s="16">
        <f>+G293/J293</f>
        <v>546.9291833333333</v>
      </c>
      <c r="M293" s="154"/>
      <c r="N293" s="155"/>
      <c r="O293" s="155"/>
    </row>
    <row r="294" spans="1:15" ht="12.75" x14ac:dyDescent="0.2">
      <c r="A294" s="4"/>
      <c r="C294" s="106"/>
      <c r="D294" s="106"/>
      <c r="F294" s="106"/>
      <c r="G294" s="9"/>
      <c r="I294" s="14"/>
      <c r="J294" s="110"/>
      <c r="K294" s="106"/>
      <c r="L294" s="9"/>
    </row>
    <row r="295" spans="1:15" ht="12.75" x14ac:dyDescent="0.2">
      <c r="A295" s="4"/>
      <c r="C295" s="4" t="s">
        <v>163</v>
      </c>
      <c r="F295" s="106"/>
      <c r="G295" s="106" t="s">
        <v>53</v>
      </c>
      <c r="I295" s="4" t="s">
        <v>53</v>
      </c>
      <c r="J295" s="87" t="s">
        <v>53</v>
      </c>
      <c r="K295" s="106" t="s">
        <v>53</v>
      </c>
    </row>
    <row r="296" spans="1:15" ht="14.25" x14ac:dyDescent="0.2">
      <c r="A296" s="4"/>
      <c r="D296" s="4" t="s">
        <v>53</v>
      </c>
      <c r="G296" s="63"/>
      <c r="I296" s="106"/>
      <c r="J296" s="87"/>
      <c r="K296" s="106"/>
      <c r="L296" s="106"/>
      <c r="M296" s="37" t="s">
        <v>53</v>
      </c>
    </row>
    <row r="297" spans="1:15" ht="12.75" x14ac:dyDescent="0.2">
      <c r="A297" s="4"/>
      <c r="C297" s="201" t="s">
        <v>164</v>
      </c>
      <c r="D297" s="201"/>
      <c r="F297" s="17"/>
      <c r="G297" s="16">
        <v>1561.5</v>
      </c>
      <c r="I297" s="14" t="s">
        <v>46</v>
      </c>
      <c r="J297" s="100">
        <v>12</v>
      </c>
      <c r="K297" s="106" t="s">
        <v>34</v>
      </c>
      <c r="L297" s="16">
        <f>+G297/J297</f>
        <v>130.125</v>
      </c>
    </row>
    <row r="298" spans="1:15" ht="12.75" x14ac:dyDescent="0.2">
      <c r="A298" s="4"/>
      <c r="C298" s="106"/>
      <c r="D298" s="106"/>
      <c r="F298" s="106"/>
      <c r="G298" s="9"/>
      <c r="I298" s="14"/>
      <c r="J298" s="110"/>
      <c r="K298" s="106"/>
      <c r="L298" s="9"/>
    </row>
    <row r="299" spans="1:15" ht="12.75" x14ac:dyDescent="0.2">
      <c r="A299" s="4"/>
      <c r="C299" s="4" t="s">
        <v>165</v>
      </c>
      <c r="F299" s="106"/>
      <c r="G299" s="106" t="s">
        <v>53</v>
      </c>
      <c r="I299" s="4" t="s">
        <v>53</v>
      </c>
      <c r="J299" s="87" t="s">
        <v>53</v>
      </c>
      <c r="K299" s="106" t="s">
        <v>53</v>
      </c>
    </row>
    <row r="300" spans="1:15" ht="14.25" x14ac:dyDescent="0.2">
      <c r="A300" s="4"/>
      <c r="D300" s="4" t="s">
        <v>53</v>
      </c>
      <c r="G300" s="63"/>
      <c r="I300" s="106"/>
      <c r="J300" s="87"/>
      <c r="K300" s="106"/>
      <c r="L300" s="106"/>
      <c r="M300" s="37" t="s">
        <v>53</v>
      </c>
    </row>
    <row r="301" spans="1:15" ht="12.75" x14ac:dyDescent="0.2">
      <c r="A301" s="4"/>
      <c r="C301" s="201" t="s">
        <v>166</v>
      </c>
      <c r="D301" s="201"/>
      <c r="F301" s="106"/>
      <c r="G301" s="16">
        <v>33.159999999999997</v>
      </c>
      <c r="I301" s="14" t="s">
        <v>46</v>
      </c>
      <c r="J301" s="100">
        <v>12</v>
      </c>
      <c r="K301" s="106" t="s">
        <v>34</v>
      </c>
      <c r="L301" s="16">
        <f>+G301/J301</f>
        <v>2.7633333333333332</v>
      </c>
    </row>
    <row r="302" spans="1:15" ht="14.25" x14ac:dyDescent="0.2">
      <c r="A302" s="4"/>
      <c r="D302" s="4" t="s">
        <v>53</v>
      </c>
      <c r="G302" s="63"/>
      <c r="I302" s="106"/>
      <c r="J302" s="87"/>
      <c r="K302" s="106"/>
      <c r="L302" s="106"/>
      <c r="M302" s="37" t="s">
        <v>53</v>
      </c>
    </row>
    <row r="303" spans="1:15" ht="12.75" x14ac:dyDescent="0.2">
      <c r="A303" s="4"/>
      <c r="C303" s="4" t="s">
        <v>167</v>
      </c>
      <c r="F303" s="106" t="s">
        <v>53</v>
      </c>
      <c r="G303" s="106" t="s">
        <v>53</v>
      </c>
      <c r="I303" s="4" t="s">
        <v>53</v>
      </c>
      <c r="J303" s="87" t="s">
        <v>53</v>
      </c>
      <c r="K303" s="106" t="s">
        <v>53</v>
      </c>
      <c r="L303" s="16">
        <f>+L289+L293+L297+L301</f>
        <v>679.81751666666662</v>
      </c>
      <c r="M303" s="37" t="s">
        <v>222</v>
      </c>
    </row>
    <row r="304" spans="1:15" ht="12.75" x14ac:dyDescent="0.2">
      <c r="A304" s="4"/>
      <c r="G304" s="4"/>
    </row>
    <row r="305" spans="1:14" ht="12.75" x14ac:dyDescent="0.2">
      <c r="A305" s="4"/>
      <c r="G305" s="4"/>
    </row>
    <row r="306" spans="1:14" ht="12.75" x14ac:dyDescent="0.2">
      <c r="A306" s="4"/>
      <c r="B306" s="4" t="s">
        <v>168</v>
      </c>
      <c r="G306" s="4"/>
      <c r="L306" s="106" t="s">
        <v>157</v>
      </c>
    </row>
    <row r="307" spans="1:14" ht="14.25" x14ac:dyDescent="0.2">
      <c r="A307" s="4"/>
      <c r="D307" s="4" t="s">
        <v>53</v>
      </c>
      <c r="G307" s="63"/>
      <c r="I307" s="106"/>
      <c r="J307" s="106"/>
      <c r="K307" s="106"/>
      <c r="L307" s="106"/>
      <c r="M307" s="37" t="s">
        <v>53</v>
      </c>
    </row>
    <row r="308" spans="1:14" ht="12.75" x14ac:dyDescent="0.2">
      <c r="A308" s="4"/>
      <c r="C308" s="4" t="s">
        <v>170</v>
      </c>
      <c r="G308" s="4"/>
      <c r="L308" s="16">
        <f>+L131</f>
        <v>13154.726191872001</v>
      </c>
      <c r="N308" s="128">
        <f>+(L308*$L$339)/$D$346</f>
        <v>3.5563045811514638</v>
      </c>
    </row>
    <row r="309" spans="1:14" ht="14.25" x14ac:dyDescent="0.2">
      <c r="A309" s="4"/>
      <c r="D309" s="4" t="s">
        <v>53</v>
      </c>
      <c r="G309" s="63"/>
      <c r="I309" s="106"/>
      <c r="J309" s="106"/>
      <c r="K309" s="106"/>
      <c r="L309" s="106"/>
    </row>
    <row r="310" spans="1:14" ht="12.75" x14ac:dyDescent="0.2">
      <c r="A310" s="4"/>
      <c r="C310" s="4" t="s">
        <v>171</v>
      </c>
      <c r="G310" s="4"/>
      <c r="L310" s="16">
        <f>+L255</f>
        <v>11755.905672573032</v>
      </c>
      <c r="N310" s="128">
        <f>+(L310*$L$339)/$D$346</f>
        <v>3.1781414975241282</v>
      </c>
    </row>
    <row r="311" spans="1:14" ht="14.25" x14ac:dyDescent="0.2">
      <c r="A311" s="4"/>
      <c r="D311" s="4" t="s">
        <v>53</v>
      </c>
      <c r="G311" s="63"/>
      <c r="I311" s="106"/>
      <c r="J311" s="106"/>
      <c r="K311" s="106"/>
      <c r="L311" s="106"/>
    </row>
    <row r="312" spans="1:14" ht="12.75" x14ac:dyDescent="0.2">
      <c r="A312" s="4"/>
      <c r="C312" s="4" t="s">
        <v>169</v>
      </c>
      <c r="G312" s="4"/>
      <c r="I312" s="9"/>
      <c r="L312" s="16">
        <f>+I271</f>
        <v>459.42051400000003</v>
      </c>
      <c r="N312" s="128">
        <f>+(L312*$L$339)/$D$346</f>
        <v>0.12420169411224018</v>
      </c>
    </row>
    <row r="313" spans="1:14" ht="14.25" x14ac:dyDescent="0.2">
      <c r="A313" s="4"/>
      <c r="D313" s="4" t="s">
        <v>53</v>
      </c>
      <c r="G313" s="63"/>
      <c r="I313" s="106"/>
      <c r="J313" s="106"/>
      <c r="K313" s="106"/>
      <c r="L313" s="106"/>
    </row>
    <row r="314" spans="1:14" ht="12.75" x14ac:dyDescent="0.2">
      <c r="A314" s="4"/>
      <c r="C314" s="4" t="s">
        <v>172</v>
      </c>
      <c r="G314" s="4"/>
      <c r="L314" s="16">
        <f>+I277</f>
        <v>65.631502000000012</v>
      </c>
      <c r="N314" s="128">
        <f>+(L314*$L$339)/$D$346</f>
        <v>1.7743099158891457E-2</v>
      </c>
    </row>
    <row r="315" spans="1:14" ht="14.25" x14ac:dyDescent="0.2">
      <c r="A315" s="4"/>
      <c r="D315" s="4" t="s">
        <v>53</v>
      </c>
      <c r="G315" s="63"/>
      <c r="I315" s="106"/>
      <c r="J315" s="106"/>
      <c r="K315" s="106"/>
      <c r="L315" s="106"/>
    </row>
    <row r="316" spans="1:14" ht="12.75" x14ac:dyDescent="0.2">
      <c r="A316" s="4"/>
      <c r="C316" s="4" t="s">
        <v>173</v>
      </c>
      <c r="G316" s="4"/>
      <c r="L316" s="16">
        <f>+I283</f>
        <v>1115.7355339999999</v>
      </c>
      <c r="N316" s="128">
        <f>+(L316*$L$339)/$D$346</f>
        <v>0.30163268570115465</v>
      </c>
    </row>
    <row r="317" spans="1:14" ht="14.25" x14ac:dyDescent="0.2">
      <c r="A317" s="4"/>
      <c r="D317" s="4" t="s">
        <v>53</v>
      </c>
      <c r="G317" s="63"/>
      <c r="I317" s="106"/>
      <c r="J317" s="106"/>
      <c r="K317" s="106"/>
      <c r="L317" s="106"/>
    </row>
    <row r="318" spans="1:14" ht="12.75" x14ac:dyDescent="0.2">
      <c r="A318" s="4"/>
      <c r="C318" s="4" t="s">
        <v>174</v>
      </c>
      <c r="G318" s="4"/>
      <c r="L318" s="16">
        <f>+L303</f>
        <v>679.81751666666662</v>
      </c>
      <c r="N318" s="128">
        <f>+(L318*$L$339)/$D$346</f>
        <v>0.18378475641419892</v>
      </c>
    </row>
    <row r="319" spans="1:14" ht="14.25" x14ac:dyDescent="0.2">
      <c r="A319" s="4"/>
      <c r="D319" s="4" t="s">
        <v>53</v>
      </c>
      <c r="G319" s="63"/>
      <c r="I319" s="106"/>
      <c r="J319" s="106"/>
      <c r="K319" s="106"/>
      <c r="L319" s="106"/>
      <c r="M319" s="37" t="s">
        <v>53</v>
      </c>
      <c r="N319" s="128" t="s">
        <v>53</v>
      </c>
    </row>
    <row r="320" spans="1:14" ht="12.75" x14ac:dyDescent="0.2">
      <c r="A320" s="4"/>
      <c r="C320" s="4" t="s">
        <v>175</v>
      </c>
      <c r="G320" s="4"/>
      <c r="L320" s="16">
        <f>+L308+L310+L312+L314+L316+L318</f>
        <v>27231.2369311117</v>
      </c>
      <c r="M320" s="37" t="s">
        <v>224</v>
      </c>
      <c r="N320" s="128">
        <f>+(L320*$L$339)/$D$346</f>
        <v>7.3618083140620776</v>
      </c>
    </row>
    <row r="321" spans="1:56" ht="12.75" x14ac:dyDescent="0.2">
      <c r="A321" s="4"/>
      <c r="G321" s="4"/>
    </row>
    <row r="322" spans="1:56" ht="12.75" x14ac:dyDescent="0.2">
      <c r="A322" s="4"/>
      <c r="B322" s="4" t="s">
        <v>176</v>
      </c>
      <c r="G322" s="4"/>
      <c r="L322" s="106" t="s">
        <v>157</v>
      </c>
    </row>
    <row r="323" spans="1:56" ht="14.25" x14ac:dyDescent="0.2">
      <c r="D323" s="4" t="s">
        <v>53</v>
      </c>
      <c r="G323" s="63"/>
      <c r="I323" s="106"/>
      <c r="J323" s="106"/>
      <c r="K323" s="106"/>
      <c r="L323" s="106"/>
      <c r="M323" s="37" t="s">
        <v>53</v>
      </c>
    </row>
    <row r="324" spans="1:56" ht="12.75" x14ac:dyDescent="0.2">
      <c r="C324" s="4" t="s">
        <v>177</v>
      </c>
      <c r="G324" s="4"/>
      <c r="L324" s="16">
        <f>+L310</f>
        <v>11755.905672573032</v>
      </c>
      <c r="N324" s="128">
        <f>+(L324*$L$340)/$D$346</f>
        <v>0.39726768719051603</v>
      </c>
      <c r="O324" s="128" t="s">
        <v>53</v>
      </c>
    </row>
    <row r="325" spans="1:56" ht="14.25" x14ac:dyDescent="0.2">
      <c r="D325" s="4" t="s">
        <v>53</v>
      </c>
      <c r="G325" s="63"/>
      <c r="I325" s="106"/>
      <c r="J325" s="106"/>
      <c r="K325" s="106"/>
      <c r="L325" s="106"/>
    </row>
    <row r="326" spans="1:56" ht="12.75" x14ac:dyDescent="0.2">
      <c r="C326" s="4" t="s">
        <v>178</v>
      </c>
      <c r="G326" s="4"/>
      <c r="L326" s="16">
        <f>+L312</f>
        <v>459.42051400000003</v>
      </c>
      <c r="N326" s="128">
        <f>+(L326*$L$340)/$D$346</f>
        <v>1.5525211764030022E-2</v>
      </c>
    </row>
    <row r="327" spans="1:56" ht="14.25" x14ac:dyDescent="0.2">
      <c r="D327" s="4" t="s">
        <v>53</v>
      </c>
      <c r="G327" s="63"/>
      <c r="I327" s="106"/>
      <c r="J327" s="106"/>
      <c r="K327" s="106"/>
      <c r="L327" s="106"/>
    </row>
    <row r="328" spans="1:56" ht="12.75" x14ac:dyDescent="0.2">
      <c r="C328" s="4" t="s">
        <v>179</v>
      </c>
      <c r="G328" s="4"/>
      <c r="L328" s="16">
        <f>+L314</f>
        <v>65.631502000000012</v>
      </c>
      <c r="N328" s="128">
        <f>+(L328*$L$340)/$D$346</f>
        <v>2.2178873948614322E-3</v>
      </c>
      <c r="O328" s="128" t="s">
        <v>53</v>
      </c>
    </row>
    <row r="329" spans="1:56" ht="14.25" x14ac:dyDescent="0.2">
      <c r="D329" s="4" t="s">
        <v>53</v>
      </c>
      <c r="G329" s="63"/>
      <c r="I329" s="106"/>
      <c r="J329" s="106"/>
      <c r="K329" s="106"/>
      <c r="L329" s="106"/>
    </row>
    <row r="330" spans="1:56" ht="12.75" x14ac:dyDescent="0.2">
      <c r="C330" s="4" t="s">
        <v>180</v>
      </c>
      <c r="G330" s="4"/>
      <c r="L330" s="16">
        <f>+L316</f>
        <v>1115.7355339999999</v>
      </c>
      <c r="N330" s="128">
        <f>+(L330*$L$340)/$D$346</f>
        <v>3.7704085712644331E-2</v>
      </c>
    </row>
    <row r="331" spans="1:56" ht="14.25" x14ac:dyDescent="0.2">
      <c r="D331" s="4" t="s">
        <v>53</v>
      </c>
      <c r="G331" s="63"/>
      <c r="I331" s="106"/>
      <c r="J331" s="106"/>
      <c r="K331" s="106"/>
      <c r="L331" s="106"/>
    </row>
    <row r="332" spans="1:56" ht="12.75" x14ac:dyDescent="0.2">
      <c r="C332" s="4" t="s">
        <v>181</v>
      </c>
      <c r="G332" s="4"/>
      <c r="L332" s="16">
        <f>+L318</f>
        <v>679.81751666666662</v>
      </c>
      <c r="N332" s="128">
        <f>+(L332*$L$340)/$D$346</f>
        <v>2.2973094551774865E-2</v>
      </c>
    </row>
    <row r="333" spans="1:56" ht="14.25" x14ac:dyDescent="0.2">
      <c r="D333" s="4" t="s">
        <v>53</v>
      </c>
      <c r="G333" s="63"/>
      <c r="I333" s="106"/>
      <c r="J333" s="106"/>
      <c r="K333" s="106"/>
      <c r="L333" s="106"/>
      <c r="M333" s="37" t="s">
        <v>53</v>
      </c>
      <c r="N333" s="128" t="s">
        <v>53</v>
      </c>
    </row>
    <row r="334" spans="1:56" ht="12.75" x14ac:dyDescent="0.2">
      <c r="C334" s="4" t="s">
        <v>182</v>
      </c>
      <c r="G334" s="4"/>
      <c r="L334" s="16">
        <f>+L324+L326+L328+L330+L332</f>
        <v>14076.510739239697</v>
      </c>
      <c r="M334" s="37" t="s">
        <v>225</v>
      </c>
      <c r="N334" s="128">
        <f>+(L334*$L$340)/$D$346</f>
        <v>0.47568796661382662</v>
      </c>
    </row>
    <row r="335" spans="1:56" ht="12.75" x14ac:dyDescent="0.2">
      <c r="G335" s="4"/>
    </row>
    <row r="336" spans="1:56" s="44" customFormat="1" ht="15.75" x14ac:dyDescent="0.25">
      <c r="A336" s="59">
        <v>3</v>
      </c>
      <c r="B336" s="45" t="s">
        <v>238</v>
      </c>
      <c r="C336" s="43"/>
      <c r="D336" s="43"/>
      <c r="E336" s="43"/>
      <c r="F336" s="43"/>
      <c r="G336" s="43"/>
      <c r="H336" s="43"/>
      <c r="I336" s="43"/>
      <c r="J336" s="43"/>
      <c r="K336" s="43"/>
      <c r="L336" s="43"/>
      <c r="M336" s="43"/>
      <c r="N336" s="114"/>
      <c r="O336" s="114"/>
      <c r="P336" s="114"/>
      <c r="Q336" s="114"/>
      <c r="R336" s="114"/>
      <c r="S336" s="114"/>
      <c r="T336" s="114"/>
      <c r="U336" s="114"/>
      <c r="V336" s="114"/>
      <c r="W336" s="114"/>
      <c r="X336" s="114"/>
      <c r="Y336" s="114"/>
      <c r="Z336" s="114"/>
      <c r="AA336" s="114"/>
      <c r="AB336" s="114"/>
      <c r="AC336" s="43"/>
      <c r="AD336" s="43"/>
      <c r="AE336" s="43"/>
      <c r="AF336" s="43"/>
      <c r="AG336" s="43"/>
      <c r="AH336" s="43"/>
      <c r="AI336" s="43"/>
      <c r="AJ336" s="43"/>
      <c r="AK336" s="43"/>
      <c r="AL336" s="43"/>
      <c r="AM336" s="43"/>
      <c r="AN336" s="43"/>
      <c r="AO336" s="43"/>
      <c r="AP336" s="43"/>
      <c r="AQ336" s="43"/>
      <c r="AR336" s="43"/>
      <c r="AS336" s="43"/>
      <c r="AT336" s="43"/>
      <c r="AU336" s="43"/>
      <c r="AV336" s="43"/>
      <c r="AW336" s="43"/>
      <c r="AX336" s="43"/>
      <c r="AY336" s="43"/>
      <c r="AZ336" s="43"/>
      <c r="BA336" s="43"/>
      <c r="BB336" s="43"/>
      <c r="BC336" s="43"/>
      <c r="BD336" s="43"/>
    </row>
    <row r="337" spans="1:28" ht="14.25" x14ac:dyDescent="0.2">
      <c r="D337" s="4" t="s">
        <v>53</v>
      </c>
      <c r="G337" s="63"/>
      <c r="I337" s="106"/>
      <c r="J337" s="106"/>
      <c r="K337" s="106"/>
      <c r="L337" s="106"/>
      <c r="M337" s="37" t="s">
        <v>53</v>
      </c>
    </row>
    <row r="338" spans="1:28" s="106" customFormat="1" ht="12.75" x14ac:dyDescent="0.2">
      <c r="B338" s="202" t="s">
        <v>43</v>
      </c>
      <c r="C338" s="203"/>
      <c r="D338" s="85" t="s">
        <v>64</v>
      </c>
      <c r="E338" s="85" t="s">
        <v>65</v>
      </c>
      <c r="F338" s="85" t="s">
        <v>66</v>
      </c>
      <c r="L338" s="85" t="s">
        <v>0</v>
      </c>
      <c r="M338" s="38"/>
      <c r="N338" s="116"/>
      <c r="O338" s="116"/>
      <c r="P338" s="116"/>
      <c r="Q338" s="116"/>
      <c r="R338" s="116"/>
      <c r="S338" s="116"/>
      <c r="T338" s="116"/>
      <c r="U338" s="116"/>
      <c r="V338" s="116"/>
      <c r="W338" s="116"/>
      <c r="X338" s="116"/>
      <c r="Y338" s="116"/>
      <c r="Z338" s="116"/>
      <c r="AA338" s="116"/>
      <c r="AB338" s="116"/>
    </row>
    <row r="339" spans="1:28" s="4" customFormat="1" ht="12.75" x14ac:dyDescent="0.2">
      <c r="A339" s="106"/>
      <c r="B339" s="211" t="s">
        <v>183</v>
      </c>
      <c r="C339" s="212"/>
      <c r="D339" s="24">
        <v>3</v>
      </c>
      <c r="E339" s="24">
        <v>0</v>
      </c>
      <c r="F339" s="24">
        <v>5</v>
      </c>
      <c r="I339" s="106"/>
      <c r="L339" s="75">
        <f>+D339+E339+F339</f>
        <v>8</v>
      </c>
      <c r="M339" s="83"/>
      <c r="N339" s="113"/>
      <c r="O339" s="113"/>
      <c r="P339" s="113"/>
      <c r="Q339" s="113"/>
      <c r="R339" s="113"/>
      <c r="S339" s="113"/>
      <c r="T339" s="113"/>
      <c r="U339" s="113"/>
      <c r="V339" s="113"/>
      <c r="W339" s="113"/>
      <c r="X339" s="113"/>
      <c r="Y339" s="113"/>
      <c r="Z339" s="113"/>
      <c r="AA339" s="113"/>
      <c r="AB339" s="113"/>
    </row>
    <row r="340" spans="1:28" s="4" customFormat="1" ht="12.75" x14ac:dyDescent="0.2">
      <c r="A340" s="106"/>
      <c r="B340" s="211" t="s">
        <v>184</v>
      </c>
      <c r="C340" s="212"/>
      <c r="D340" s="24">
        <v>0</v>
      </c>
      <c r="E340" s="24">
        <v>0</v>
      </c>
      <c r="F340" s="24">
        <v>1</v>
      </c>
      <c r="I340" s="106"/>
      <c r="L340" s="75">
        <f>+D340+E340+F340</f>
        <v>1</v>
      </c>
      <c r="M340" s="37"/>
      <c r="N340" s="113"/>
      <c r="O340" s="113"/>
      <c r="P340" s="113"/>
      <c r="Q340" s="113"/>
      <c r="R340" s="113"/>
      <c r="S340" s="113"/>
      <c r="T340" s="113"/>
      <c r="U340" s="113"/>
      <c r="V340" s="113"/>
      <c r="W340" s="113"/>
      <c r="X340" s="113"/>
      <c r="Y340" s="113"/>
      <c r="Z340" s="113"/>
      <c r="AA340" s="113"/>
      <c r="AB340" s="113"/>
    </row>
    <row r="341" spans="1:28" s="4" customFormat="1" ht="12.75" x14ac:dyDescent="0.2">
      <c r="A341" s="106"/>
      <c r="B341" s="211" t="s">
        <v>0</v>
      </c>
      <c r="C341" s="212"/>
      <c r="D341" s="24">
        <f>SUM(D339:D340)</f>
        <v>3</v>
      </c>
      <c r="E341" s="24">
        <f>SUM(E339:E340)</f>
        <v>0</v>
      </c>
      <c r="F341" s="24">
        <f>SUM(F339:F340)</f>
        <v>6</v>
      </c>
      <c r="I341" s="106"/>
      <c r="L341" s="24">
        <f>+D341+E341+F341</f>
        <v>9</v>
      </c>
      <c r="M341" s="37"/>
      <c r="N341" s="113"/>
      <c r="O341" s="113"/>
      <c r="P341" s="113"/>
      <c r="Q341" s="113"/>
      <c r="R341" s="113"/>
      <c r="S341" s="113"/>
      <c r="T341" s="113"/>
      <c r="U341" s="113"/>
      <c r="V341" s="113"/>
      <c r="W341" s="113"/>
      <c r="X341" s="113"/>
      <c r="Y341" s="113"/>
      <c r="Z341" s="113"/>
      <c r="AA341" s="113"/>
      <c r="AB341" s="113"/>
    </row>
    <row r="342" spans="1:28" ht="14.25" x14ac:dyDescent="0.2">
      <c r="D342" s="4" t="s">
        <v>53</v>
      </c>
      <c r="G342" s="63"/>
      <c r="I342" s="106"/>
      <c r="J342" s="106"/>
      <c r="K342" s="106"/>
      <c r="L342" s="106"/>
    </row>
    <row r="343" spans="1:28" s="4" customFormat="1" ht="12.75" x14ac:dyDescent="0.2">
      <c r="A343" s="106"/>
      <c r="B343" s="164" t="s">
        <v>3</v>
      </c>
      <c r="C343" s="166"/>
      <c r="D343" s="77" t="s">
        <v>0</v>
      </c>
      <c r="I343" s="106"/>
      <c r="L343" s="77" t="s">
        <v>0</v>
      </c>
      <c r="M343" s="37"/>
      <c r="N343" s="113"/>
      <c r="O343" s="113"/>
      <c r="P343" s="113"/>
      <c r="Q343" s="113"/>
      <c r="R343" s="113"/>
      <c r="S343" s="113"/>
      <c r="T343" s="113"/>
      <c r="U343" s="113"/>
      <c r="V343" s="113"/>
      <c r="W343" s="113"/>
      <c r="X343" s="113"/>
      <c r="Y343" s="113"/>
      <c r="Z343" s="113"/>
      <c r="AA343" s="113"/>
      <c r="AB343" s="113"/>
    </row>
    <row r="344" spans="1:28" s="4" customFormat="1" ht="12.75" x14ac:dyDescent="0.2">
      <c r="A344" s="106"/>
      <c r="B344" s="206" t="s">
        <v>183</v>
      </c>
      <c r="C344" s="207"/>
      <c r="D344" s="27">
        <v>28730</v>
      </c>
      <c r="I344" s="20"/>
      <c r="L344" s="27">
        <f>+D344</f>
        <v>28730</v>
      </c>
      <c r="M344" s="37"/>
      <c r="N344" s="113"/>
      <c r="O344" s="113"/>
      <c r="P344" s="113"/>
      <c r="Q344" s="113"/>
      <c r="R344" s="113"/>
      <c r="S344" s="113"/>
      <c r="T344" s="113"/>
      <c r="U344" s="113"/>
      <c r="V344" s="113"/>
      <c r="W344" s="113"/>
      <c r="X344" s="113"/>
      <c r="Y344" s="113"/>
      <c r="Z344" s="113"/>
      <c r="AA344" s="113"/>
      <c r="AB344" s="113"/>
    </row>
    <row r="345" spans="1:28" s="4" customFormat="1" ht="12.75" x14ac:dyDescent="0.2">
      <c r="A345" s="106"/>
      <c r="B345" s="206" t="s">
        <v>185</v>
      </c>
      <c r="C345" s="207"/>
      <c r="D345" s="27">
        <f>0.03*D344</f>
        <v>861.9</v>
      </c>
      <c r="E345" s="4" t="s">
        <v>53</v>
      </c>
      <c r="I345" s="20"/>
      <c r="L345" s="27">
        <f t="shared" ref="L345:L346" si="18">+D345</f>
        <v>861.9</v>
      </c>
      <c r="M345" s="37"/>
      <c r="N345" s="113"/>
      <c r="O345" s="113"/>
      <c r="P345" s="113"/>
      <c r="Q345" s="113"/>
      <c r="R345" s="113"/>
      <c r="S345" s="113"/>
      <c r="T345" s="113"/>
      <c r="U345" s="113"/>
      <c r="V345" s="113"/>
      <c r="W345" s="113"/>
      <c r="X345" s="113"/>
      <c r="Y345" s="113"/>
      <c r="Z345" s="113"/>
      <c r="AA345" s="113"/>
      <c r="AB345" s="113"/>
    </row>
    <row r="346" spans="1:28" s="4" customFormat="1" ht="12.75" x14ac:dyDescent="0.2">
      <c r="A346" s="106"/>
      <c r="B346" s="206" t="s">
        <v>0</v>
      </c>
      <c r="C346" s="207"/>
      <c r="D346" s="27">
        <f>+D344+D345</f>
        <v>29591.9</v>
      </c>
      <c r="E346" s="144" t="s">
        <v>286</v>
      </c>
      <c r="I346" s="20"/>
      <c r="L346" s="27">
        <f t="shared" si="18"/>
        <v>29591.9</v>
      </c>
      <c r="M346" s="83"/>
      <c r="N346" s="129"/>
      <c r="O346" s="113"/>
      <c r="P346" s="113"/>
      <c r="Q346" s="113"/>
      <c r="R346" s="113"/>
      <c r="S346" s="113"/>
      <c r="T346" s="113"/>
      <c r="U346" s="113"/>
      <c r="V346" s="113"/>
      <c r="W346" s="113"/>
      <c r="X346" s="113"/>
      <c r="Y346" s="113"/>
      <c r="Z346" s="113"/>
      <c r="AA346" s="113"/>
      <c r="AB346" s="113"/>
    </row>
    <row r="347" spans="1:28" s="4" customFormat="1" ht="12.75" x14ac:dyDescent="0.2">
      <c r="A347" s="106"/>
      <c r="B347" s="208" t="s">
        <v>15</v>
      </c>
      <c r="C347" s="209"/>
      <c r="D347" s="27">
        <f>+D346/H119</f>
        <v>3698.9875000000002</v>
      </c>
      <c r="I347" s="20"/>
      <c r="L347" s="24">
        <f>+D347</f>
        <v>3698.9875000000002</v>
      </c>
      <c r="M347" s="37"/>
      <c r="N347" s="113"/>
      <c r="O347" s="113"/>
      <c r="P347" s="113"/>
      <c r="Q347" s="113"/>
      <c r="R347" s="113"/>
      <c r="S347" s="113"/>
      <c r="T347" s="113"/>
      <c r="U347" s="113"/>
      <c r="V347" s="113"/>
      <c r="W347" s="113"/>
      <c r="X347" s="113"/>
      <c r="Y347" s="113"/>
      <c r="Z347" s="113"/>
      <c r="AA347" s="113"/>
      <c r="AB347" s="113"/>
    </row>
    <row r="348" spans="1:28" ht="14.25" x14ac:dyDescent="0.2">
      <c r="D348" s="4" t="s">
        <v>53</v>
      </c>
      <c r="G348" s="63"/>
      <c r="I348" s="106"/>
      <c r="J348" s="106"/>
      <c r="K348" s="106"/>
      <c r="L348" s="106"/>
    </row>
    <row r="349" spans="1:28" s="4" customFormat="1" ht="12.75" x14ac:dyDescent="0.2">
      <c r="A349" s="106"/>
      <c r="B349" s="164" t="s">
        <v>40</v>
      </c>
      <c r="C349" s="165"/>
      <c r="D349" s="165"/>
      <c r="E349" s="166"/>
      <c r="M349" s="37"/>
      <c r="N349" s="113"/>
      <c r="O349" s="113"/>
      <c r="P349" s="113"/>
      <c r="Q349" s="113"/>
      <c r="R349" s="113"/>
      <c r="S349" s="113"/>
      <c r="T349" s="113"/>
      <c r="U349" s="113"/>
      <c r="V349" s="113"/>
      <c r="W349" s="113"/>
      <c r="X349" s="113"/>
      <c r="Y349" s="113"/>
      <c r="Z349" s="113"/>
      <c r="AA349" s="113"/>
      <c r="AB349" s="113"/>
    </row>
    <row r="350" spans="1:28" s="4" customFormat="1" ht="12.75" x14ac:dyDescent="0.2">
      <c r="A350" s="106"/>
      <c r="B350" s="28"/>
      <c r="C350" s="29"/>
      <c r="D350" s="29" t="s">
        <v>186</v>
      </c>
      <c r="E350" s="30"/>
      <c r="I350" s="210" t="s">
        <v>239</v>
      </c>
      <c r="J350" s="210"/>
      <c r="K350" s="210"/>
      <c r="L350" s="24">
        <v>73817</v>
      </c>
      <c r="M350" s="156" t="s">
        <v>289</v>
      </c>
      <c r="N350" s="113"/>
      <c r="O350" s="124" t="s">
        <v>53</v>
      </c>
      <c r="P350" s="124"/>
      <c r="Q350" s="113"/>
      <c r="R350" s="113"/>
      <c r="S350" s="113"/>
      <c r="T350" s="113"/>
      <c r="U350" s="113"/>
      <c r="V350" s="113"/>
      <c r="W350" s="113"/>
      <c r="X350" s="113"/>
      <c r="Y350" s="113"/>
      <c r="Z350" s="113"/>
      <c r="AA350" s="113"/>
      <c r="AB350" s="113"/>
    </row>
    <row r="351" spans="1:28" s="4" customFormat="1" ht="12.75" x14ac:dyDescent="0.2">
      <c r="A351" s="106"/>
      <c r="B351" s="28"/>
      <c r="C351" s="29"/>
      <c r="D351" s="29" t="s">
        <v>187</v>
      </c>
      <c r="E351" s="30"/>
      <c r="I351" s="210" t="s">
        <v>234</v>
      </c>
      <c r="J351" s="210"/>
      <c r="K351" s="210"/>
      <c r="L351" s="24">
        <v>57873</v>
      </c>
      <c r="M351" s="156"/>
      <c r="N351" s="113"/>
      <c r="O351" s="124"/>
      <c r="P351" s="124"/>
      <c r="Q351" s="113"/>
      <c r="R351" s="113"/>
      <c r="S351" s="113"/>
      <c r="T351" s="113"/>
      <c r="U351" s="113"/>
      <c r="V351" s="113"/>
      <c r="W351" s="113"/>
      <c r="X351" s="113"/>
      <c r="Y351" s="113"/>
      <c r="Z351" s="113"/>
      <c r="AA351" s="113"/>
      <c r="AB351" s="113"/>
    </row>
    <row r="352" spans="1:28" ht="14.25" x14ac:dyDescent="0.2">
      <c r="D352" s="4" t="s">
        <v>53</v>
      </c>
      <c r="G352" s="81"/>
      <c r="I352" s="106"/>
      <c r="J352" s="106"/>
      <c r="K352" s="106"/>
      <c r="L352" s="106"/>
    </row>
    <row r="353" spans="1:28" s="4" customFormat="1" ht="12.75" x14ac:dyDescent="0.2">
      <c r="A353" s="106"/>
      <c r="B353" s="164" t="s">
        <v>41</v>
      </c>
      <c r="C353" s="165"/>
      <c r="D353" s="165"/>
      <c r="E353" s="166"/>
      <c r="L353" s="20"/>
      <c r="M353" s="37"/>
      <c r="N353" s="113"/>
      <c r="O353" s="113"/>
      <c r="P353" s="113"/>
      <c r="Q353" s="113"/>
      <c r="R353" s="113"/>
      <c r="S353" s="113"/>
      <c r="T353" s="113"/>
      <c r="U353" s="113"/>
      <c r="V353" s="113"/>
      <c r="W353" s="113"/>
      <c r="X353" s="113"/>
      <c r="Y353" s="113"/>
      <c r="Z353" s="113"/>
      <c r="AA353" s="113"/>
      <c r="AB353" s="113"/>
    </row>
    <row r="354" spans="1:28" s="4" customFormat="1" ht="12.75" x14ac:dyDescent="0.2">
      <c r="A354" s="106"/>
      <c r="B354" s="28"/>
      <c r="C354" s="29"/>
      <c r="D354" s="29" t="s">
        <v>186</v>
      </c>
      <c r="E354" s="30"/>
      <c r="K354" s="107" t="s">
        <v>188</v>
      </c>
      <c r="L354" s="76">
        <f>+L350/D346</f>
        <v>2.4945001841720198</v>
      </c>
      <c r="M354" s="37"/>
      <c r="N354" s="113"/>
      <c r="O354" s="113"/>
      <c r="P354" s="113"/>
      <c r="Q354" s="113"/>
      <c r="R354" s="113"/>
      <c r="S354" s="113"/>
      <c r="T354" s="113"/>
      <c r="U354" s="113"/>
      <c r="V354" s="113"/>
      <c r="W354" s="113"/>
      <c r="X354" s="113"/>
      <c r="Y354" s="113"/>
      <c r="Z354" s="113"/>
      <c r="AA354" s="113"/>
      <c r="AB354" s="113"/>
    </row>
    <row r="355" spans="1:28" s="4" customFormat="1" ht="12.75" x14ac:dyDescent="0.2">
      <c r="A355" s="106"/>
      <c r="B355" s="28"/>
      <c r="C355" s="29"/>
      <c r="D355" s="29" t="s">
        <v>187</v>
      </c>
      <c r="E355" s="30"/>
      <c r="K355" s="107" t="s">
        <v>42</v>
      </c>
      <c r="L355" s="76">
        <f>+L351/D346</f>
        <v>1.9557040947015905</v>
      </c>
      <c r="M355" s="37"/>
      <c r="N355" s="113"/>
      <c r="O355" s="113"/>
      <c r="P355" s="113"/>
      <c r="Q355" s="113"/>
      <c r="R355" s="113"/>
      <c r="S355" s="113"/>
      <c r="T355" s="113"/>
      <c r="U355" s="113"/>
      <c r="V355" s="113"/>
      <c r="W355" s="113"/>
      <c r="X355" s="113"/>
      <c r="Y355" s="113"/>
      <c r="Z355" s="113"/>
      <c r="AA355" s="113"/>
      <c r="AB355" s="113"/>
    </row>
    <row r="356" spans="1:28" ht="14.25" x14ac:dyDescent="0.2">
      <c r="D356" s="4" t="s">
        <v>53</v>
      </c>
      <c r="G356" s="81"/>
      <c r="I356" s="106"/>
      <c r="J356" s="106"/>
      <c r="K356" s="106"/>
      <c r="L356" s="106"/>
      <c r="M356" s="37" t="s">
        <v>53</v>
      </c>
    </row>
    <row r="357" spans="1:28" s="4" customFormat="1" ht="12.75" x14ac:dyDescent="0.2">
      <c r="A357" s="106"/>
      <c r="B357" s="164" t="s">
        <v>189</v>
      </c>
      <c r="C357" s="165"/>
      <c r="D357" s="165"/>
      <c r="E357" s="166"/>
      <c r="M357" s="37"/>
      <c r="N357" s="113"/>
      <c r="O357" s="113"/>
      <c r="P357" s="113"/>
      <c r="Q357" s="113"/>
      <c r="R357" s="113"/>
      <c r="S357" s="113"/>
      <c r="T357" s="113"/>
      <c r="U357" s="113"/>
      <c r="V357" s="113"/>
      <c r="W357" s="113"/>
      <c r="X357" s="113"/>
      <c r="Y357" s="113"/>
      <c r="Z357" s="113"/>
      <c r="AA357" s="113"/>
      <c r="AB357" s="113"/>
    </row>
    <row r="358" spans="1:28" s="4" customFormat="1" ht="12.75" x14ac:dyDescent="0.2">
      <c r="A358" s="106"/>
      <c r="B358" s="28"/>
      <c r="C358" s="29"/>
      <c r="D358" s="29" t="s">
        <v>52</v>
      </c>
      <c r="E358" s="30"/>
      <c r="L358" s="111">
        <v>0.02</v>
      </c>
      <c r="M358" s="37"/>
      <c r="N358" s="113"/>
      <c r="O358" s="113"/>
      <c r="P358" s="113"/>
      <c r="Q358" s="113"/>
      <c r="R358" s="113"/>
      <c r="S358" s="113"/>
      <c r="T358" s="113"/>
      <c r="U358" s="113"/>
      <c r="V358" s="113"/>
      <c r="W358" s="113"/>
      <c r="X358" s="113"/>
      <c r="Y358" s="113"/>
      <c r="Z358" s="113"/>
      <c r="AA358" s="113"/>
      <c r="AB358" s="113"/>
    </row>
    <row r="359" spans="1:28" s="4" customFormat="1" ht="12.75" x14ac:dyDescent="0.2">
      <c r="A359" s="106"/>
      <c r="B359" s="28"/>
      <c r="C359" s="29"/>
      <c r="D359" s="29" t="s">
        <v>4</v>
      </c>
      <c r="E359" s="30"/>
      <c r="L359" s="111">
        <v>0.03</v>
      </c>
      <c r="M359" s="37"/>
      <c r="N359" s="113"/>
      <c r="O359" s="113"/>
      <c r="P359" s="113"/>
      <c r="Q359" s="113"/>
      <c r="R359" s="113"/>
      <c r="S359" s="113"/>
      <c r="T359" s="113"/>
      <c r="U359" s="113"/>
      <c r="V359" s="113"/>
      <c r="W359" s="113"/>
      <c r="X359" s="113"/>
      <c r="Y359" s="113"/>
      <c r="Z359" s="113"/>
      <c r="AA359" s="113"/>
      <c r="AB359" s="113"/>
    </row>
    <row r="360" spans="1:28" s="4" customFormat="1" ht="12.75" x14ac:dyDescent="0.2">
      <c r="A360" s="106"/>
      <c r="B360" s="28"/>
      <c r="C360" s="29"/>
      <c r="D360" s="29" t="s">
        <v>61</v>
      </c>
      <c r="E360" s="30"/>
      <c r="L360" s="111">
        <v>0</v>
      </c>
      <c r="M360" s="143" t="s">
        <v>287</v>
      </c>
      <c r="N360" s="113"/>
      <c r="O360" s="113"/>
      <c r="P360" s="113"/>
      <c r="Q360" s="113"/>
      <c r="R360" s="113"/>
      <c r="S360" s="113"/>
      <c r="T360" s="113"/>
      <c r="U360" s="113"/>
      <c r="V360" s="113"/>
      <c r="W360" s="113"/>
      <c r="X360" s="113"/>
      <c r="Y360" s="113"/>
      <c r="Z360" s="113"/>
      <c r="AA360" s="113"/>
      <c r="AB360" s="113"/>
    </row>
    <row r="361" spans="1:28" s="4" customFormat="1" ht="12.75" x14ac:dyDescent="0.2">
      <c r="A361" s="106"/>
      <c r="B361" s="28"/>
      <c r="C361" s="29"/>
      <c r="D361" s="29" t="s">
        <v>62</v>
      </c>
      <c r="E361" s="30"/>
      <c r="L361" s="111">
        <v>0</v>
      </c>
      <c r="M361" s="143" t="s">
        <v>287</v>
      </c>
      <c r="N361" s="113"/>
      <c r="O361" s="113"/>
      <c r="P361" s="113"/>
      <c r="Q361" s="113"/>
      <c r="R361" s="113"/>
      <c r="S361" s="113"/>
      <c r="T361" s="113"/>
      <c r="U361" s="113"/>
      <c r="V361" s="113"/>
      <c r="W361" s="113"/>
      <c r="X361" s="113"/>
      <c r="Y361" s="113"/>
      <c r="Z361" s="113"/>
      <c r="AA361" s="113"/>
      <c r="AB361" s="113"/>
    </row>
    <row r="362" spans="1:28" s="4" customFormat="1" ht="12.75" x14ac:dyDescent="0.2">
      <c r="A362" s="106"/>
      <c r="B362" s="164" t="s">
        <v>190</v>
      </c>
      <c r="C362" s="165"/>
      <c r="D362" s="165"/>
      <c r="E362" s="166"/>
      <c r="J362" s="210" t="s">
        <v>191</v>
      </c>
      <c r="K362" s="216"/>
      <c r="L362" s="111">
        <f>SUM(L358:L361)</f>
        <v>0.05</v>
      </c>
      <c r="M362" s="37"/>
      <c r="N362" s="130" t="s">
        <v>53</v>
      </c>
      <c r="O362" s="113" t="s">
        <v>53</v>
      </c>
      <c r="P362" s="113"/>
      <c r="Q362" s="113"/>
      <c r="R362" s="113"/>
      <c r="S362" s="113"/>
      <c r="T362" s="113"/>
      <c r="U362" s="113"/>
      <c r="V362" s="113"/>
      <c r="W362" s="113"/>
      <c r="X362" s="113"/>
      <c r="Y362" s="113"/>
      <c r="Z362" s="113"/>
      <c r="AA362" s="113"/>
      <c r="AB362" s="113"/>
    </row>
    <row r="363" spans="1:28" s="4" customFormat="1" ht="12.75" x14ac:dyDescent="0.2">
      <c r="A363" s="106"/>
      <c r="M363" s="37"/>
      <c r="N363" s="113"/>
      <c r="O363" s="113"/>
      <c r="P363" s="113"/>
      <c r="Q363" s="113"/>
      <c r="R363" s="113"/>
      <c r="S363" s="113"/>
      <c r="T363" s="113"/>
      <c r="U363" s="113"/>
      <c r="V363" s="113"/>
      <c r="W363" s="113"/>
      <c r="X363" s="113"/>
      <c r="Y363" s="113"/>
      <c r="Z363" s="113"/>
      <c r="AA363" s="113"/>
      <c r="AB363" s="113"/>
    </row>
    <row r="364" spans="1:28" s="4" customFormat="1" ht="12.75" x14ac:dyDescent="0.2">
      <c r="A364" s="106"/>
      <c r="B364" s="4" t="s">
        <v>32</v>
      </c>
      <c r="M364" s="37"/>
      <c r="N364" s="113"/>
      <c r="O364" s="113"/>
      <c r="P364" s="113"/>
      <c r="Q364" s="117"/>
      <c r="R364" s="113"/>
      <c r="S364" s="113"/>
      <c r="T364" s="113"/>
      <c r="U364" s="113"/>
      <c r="V364" s="113"/>
      <c r="W364" s="113"/>
      <c r="X364" s="113"/>
      <c r="Y364" s="113"/>
      <c r="Z364" s="113"/>
      <c r="AA364" s="113"/>
      <c r="AB364" s="113"/>
    </row>
    <row r="365" spans="1:28" s="4" customFormat="1" ht="12.75" x14ac:dyDescent="0.2">
      <c r="A365" s="106"/>
      <c r="M365" s="37"/>
      <c r="N365" s="113"/>
      <c r="O365" s="113"/>
      <c r="P365" s="113"/>
      <c r="Q365" s="113"/>
      <c r="R365" s="113"/>
      <c r="S365" s="113"/>
      <c r="T365" s="113"/>
      <c r="U365" s="113"/>
      <c r="V365" s="113"/>
      <c r="W365" s="113"/>
      <c r="X365" s="113"/>
      <c r="Y365" s="113"/>
      <c r="Z365" s="113"/>
      <c r="AA365" s="113"/>
      <c r="AB365" s="113"/>
    </row>
    <row r="366" spans="1:28" s="4" customFormat="1" ht="12.75" x14ac:dyDescent="0.2">
      <c r="A366" s="106"/>
      <c r="C366" s="106" t="s">
        <v>192</v>
      </c>
      <c r="D366" s="106"/>
      <c r="G366" s="106" t="s">
        <v>193</v>
      </c>
      <c r="L366" s="106" t="s">
        <v>5</v>
      </c>
      <c r="M366" s="37"/>
      <c r="N366" s="113"/>
      <c r="O366" s="113"/>
      <c r="P366" s="113"/>
      <c r="Q366" s="113"/>
      <c r="R366" s="113"/>
      <c r="S366" s="113"/>
      <c r="T366" s="113"/>
      <c r="U366" s="113"/>
      <c r="V366" s="113"/>
      <c r="W366" s="113"/>
      <c r="X366" s="113"/>
      <c r="Y366" s="113"/>
      <c r="Z366" s="113"/>
      <c r="AA366" s="113"/>
      <c r="AB366" s="113"/>
    </row>
    <row r="367" spans="1:28" s="4" customFormat="1" ht="12.75" x14ac:dyDescent="0.2">
      <c r="A367" s="106"/>
      <c r="C367" s="73">
        <f>L83</f>
        <v>2.7328260284875259</v>
      </c>
      <c r="D367" s="213" t="s">
        <v>194</v>
      </c>
      <c r="E367" s="214"/>
      <c r="F367" s="215"/>
      <c r="G367" s="24">
        <f>+D346</f>
        <v>29591.9</v>
      </c>
      <c r="I367" s="106" t="s">
        <v>34</v>
      </c>
      <c r="L367" s="16">
        <f>+C367*G367</f>
        <v>80869.514552400025</v>
      </c>
      <c r="M367" s="37" t="s">
        <v>227</v>
      </c>
      <c r="N367" s="124"/>
      <c r="O367" s="113"/>
      <c r="P367" s="113"/>
      <c r="Q367" s="142"/>
      <c r="R367" s="118"/>
      <c r="S367" s="113"/>
      <c r="T367" s="113"/>
      <c r="U367" s="113"/>
      <c r="V367" s="113"/>
      <c r="W367" s="113"/>
      <c r="X367" s="113"/>
      <c r="Y367" s="113"/>
      <c r="Z367" s="113"/>
      <c r="AA367" s="113"/>
      <c r="AB367" s="113"/>
    </row>
    <row r="368" spans="1:28" ht="14.25" x14ac:dyDescent="0.2">
      <c r="D368" s="4" t="s">
        <v>53</v>
      </c>
      <c r="G368" s="63"/>
      <c r="I368" s="106"/>
      <c r="J368" s="106"/>
      <c r="K368" s="106"/>
      <c r="L368" s="106"/>
      <c r="M368" s="37" t="s">
        <v>53</v>
      </c>
    </row>
    <row r="369" spans="1:20" ht="12.75" x14ac:dyDescent="0.2">
      <c r="B369" s="4" t="s">
        <v>35</v>
      </c>
      <c r="G369" s="4"/>
    </row>
    <row r="370" spans="1:20" ht="12.75" x14ac:dyDescent="0.2">
      <c r="G370" s="4"/>
    </row>
    <row r="371" spans="1:20" ht="12.75" x14ac:dyDescent="0.2">
      <c r="C371" s="106" t="s">
        <v>196</v>
      </c>
      <c r="D371" s="106"/>
      <c r="G371" s="106" t="s">
        <v>198</v>
      </c>
      <c r="K371" s="210" t="s">
        <v>199</v>
      </c>
      <c r="L371" s="210"/>
    </row>
    <row r="372" spans="1:20" ht="12.75" x14ac:dyDescent="0.2">
      <c r="C372" s="73">
        <f>L320</f>
        <v>27231.2369311117</v>
      </c>
      <c r="D372" s="213" t="s">
        <v>197</v>
      </c>
      <c r="E372" s="214"/>
      <c r="F372" s="215"/>
      <c r="G372" s="24">
        <f>+L339</f>
        <v>8</v>
      </c>
      <c r="I372" s="106" t="s">
        <v>34</v>
      </c>
      <c r="L372" s="16">
        <f>+C372*G372</f>
        <v>217849.8954488936</v>
      </c>
      <c r="M372" s="37" t="s">
        <v>228</v>
      </c>
      <c r="N372" s="124"/>
    </row>
    <row r="373" spans="1:20" ht="12.75" x14ac:dyDescent="0.2">
      <c r="G373" s="4"/>
    </row>
    <row r="374" spans="1:20" ht="12.75" x14ac:dyDescent="0.2">
      <c r="B374" s="4" t="s">
        <v>36</v>
      </c>
      <c r="G374" s="4"/>
    </row>
    <row r="375" spans="1:20" ht="12.75" x14ac:dyDescent="0.2">
      <c r="G375" s="4"/>
    </row>
    <row r="376" spans="1:20" ht="12.75" x14ac:dyDescent="0.2">
      <c r="C376" s="106" t="s">
        <v>196</v>
      </c>
      <c r="D376" s="106"/>
      <c r="G376" s="106" t="s">
        <v>200</v>
      </c>
      <c r="K376" s="210" t="s">
        <v>202</v>
      </c>
      <c r="L376" s="210"/>
    </row>
    <row r="377" spans="1:20" ht="12.75" x14ac:dyDescent="0.2">
      <c r="C377" s="73">
        <f>L334</f>
        <v>14076.510739239697</v>
      </c>
      <c r="D377" s="213" t="s">
        <v>201</v>
      </c>
      <c r="E377" s="214"/>
      <c r="F377" s="215"/>
      <c r="G377" s="24">
        <f>L340</f>
        <v>1</v>
      </c>
      <c r="I377" s="106" t="s">
        <v>34</v>
      </c>
      <c r="L377" s="16">
        <f>+C377*G377</f>
        <v>14076.510739239697</v>
      </c>
      <c r="M377" s="37" t="s">
        <v>229</v>
      </c>
    </row>
    <row r="378" spans="1:20" ht="12.75" x14ac:dyDescent="0.2">
      <c r="G378" s="4"/>
    </row>
    <row r="379" spans="1:20" ht="12.75" x14ac:dyDescent="0.2">
      <c r="G379" s="106" t="s">
        <v>204</v>
      </c>
    </row>
    <row r="380" spans="1:20" ht="12.75" x14ac:dyDescent="0.2">
      <c r="B380" s="4" t="s">
        <v>203</v>
      </c>
      <c r="E380" s="4" t="s">
        <v>226</v>
      </c>
      <c r="F380" s="106" t="s">
        <v>33</v>
      </c>
      <c r="G380" s="100">
        <v>0.04</v>
      </c>
      <c r="L380" s="16">
        <f>+(L367+L372+L377)*G380</f>
        <v>12511.836829621334</v>
      </c>
      <c r="M380" s="37" t="s">
        <v>230</v>
      </c>
      <c r="N380" s="128">
        <f>+(L380*L341)/D346</f>
        <v>3.805316031298835</v>
      </c>
    </row>
    <row r="381" spans="1:20" ht="12.75" x14ac:dyDescent="0.2">
      <c r="F381" s="106"/>
      <c r="G381" s="84"/>
      <c r="L381" s="9"/>
    </row>
    <row r="382" spans="1:20" ht="12.75" x14ac:dyDescent="0.2">
      <c r="A382" s="31"/>
      <c r="B382" s="32" t="s">
        <v>293</v>
      </c>
      <c r="C382" s="32"/>
      <c r="D382" s="32"/>
      <c r="E382" s="32"/>
      <c r="F382" s="32"/>
      <c r="G382" s="32"/>
      <c r="H382" s="32"/>
      <c r="I382" s="32"/>
      <c r="J382" s="32"/>
      <c r="K382" s="32"/>
      <c r="L382" s="147"/>
      <c r="M382" s="37" t="s">
        <v>231</v>
      </c>
      <c r="R382" s="119"/>
      <c r="S382" s="119"/>
      <c r="T382" s="119"/>
    </row>
    <row r="383" spans="1:20" ht="14.25" x14ac:dyDescent="0.2">
      <c r="D383" s="4" t="s">
        <v>53</v>
      </c>
      <c r="G383" s="63"/>
      <c r="I383" s="106"/>
      <c r="J383" s="106"/>
      <c r="K383" s="106"/>
      <c r="L383" s="106"/>
      <c r="M383" s="37" t="s">
        <v>53</v>
      </c>
    </row>
    <row r="384" spans="1:20" ht="12.75" x14ac:dyDescent="0.2">
      <c r="A384" s="31"/>
      <c r="B384" s="32" t="s">
        <v>294</v>
      </c>
      <c r="C384" s="32"/>
      <c r="D384" s="32"/>
      <c r="E384" s="32"/>
      <c r="F384" s="32"/>
      <c r="G384" s="32"/>
      <c r="H384" s="32"/>
      <c r="I384" s="32"/>
      <c r="J384" s="32"/>
      <c r="K384" s="32"/>
      <c r="L384" s="147"/>
      <c r="M384" s="37" t="s">
        <v>232</v>
      </c>
    </row>
    <row r="385" spans="1:56" ht="14.25" x14ac:dyDescent="0.2">
      <c r="D385" s="4" t="s">
        <v>53</v>
      </c>
      <c r="G385" s="63"/>
      <c r="I385" s="106"/>
      <c r="J385" s="106"/>
      <c r="K385" s="106"/>
      <c r="L385" s="106"/>
      <c r="M385" s="37" t="s">
        <v>53</v>
      </c>
    </row>
    <row r="386" spans="1:56" s="4" customFormat="1" ht="12.75" x14ac:dyDescent="0.2">
      <c r="A386" s="31"/>
      <c r="B386" s="32" t="s">
        <v>267</v>
      </c>
      <c r="C386" s="32"/>
      <c r="D386" s="32"/>
      <c r="E386" s="32"/>
      <c r="F386" s="32"/>
      <c r="G386" s="32"/>
      <c r="H386" s="32"/>
      <c r="I386" s="32"/>
      <c r="J386" s="32"/>
      <c r="K386" s="32"/>
      <c r="L386" s="147"/>
      <c r="M386" s="37" t="s">
        <v>268</v>
      </c>
      <c r="N386" s="113"/>
      <c r="O386" s="113"/>
      <c r="P386" s="113"/>
      <c r="Q386" s="113"/>
      <c r="R386" s="113"/>
      <c r="S386" s="113"/>
      <c r="T386" s="113"/>
      <c r="U386" s="113"/>
      <c r="V386" s="113"/>
      <c r="W386" s="113"/>
      <c r="X386" s="113"/>
      <c r="Y386" s="113"/>
      <c r="Z386" s="113"/>
      <c r="AA386" s="113"/>
      <c r="AB386" s="113"/>
    </row>
    <row r="387" spans="1:56" ht="14.25" x14ac:dyDescent="0.2">
      <c r="D387" s="4" t="s">
        <v>53</v>
      </c>
      <c r="G387" s="63"/>
      <c r="J387" s="106"/>
      <c r="K387" s="106"/>
      <c r="L387" s="106"/>
      <c r="M387" s="37" t="s">
        <v>53</v>
      </c>
    </row>
    <row r="388" spans="1:56" ht="12.75" x14ac:dyDescent="0.2">
      <c r="A388" s="31"/>
      <c r="B388" s="32" t="s">
        <v>269</v>
      </c>
      <c r="C388" s="32"/>
      <c r="D388" s="32"/>
      <c r="E388" s="32"/>
      <c r="F388" s="32"/>
      <c r="G388" s="32"/>
      <c r="H388" s="32"/>
      <c r="I388" s="32"/>
      <c r="J388" s="32"/>
      <c r="K388" s="32"/>
      <c r="L388" s="16">
        <f>+(L367+L372+L377+L380+L382)-L384-L386</f>
        <v>325307.75757015467</v>
      </c>
      <c r="M388" s="37" t="s">
        <v>233</v>
      </c>
      <c r="N388" s="113" t="s">
        <v>53</v>
      </c>
    </row>
    <row r="389" spans="1:56" ht="14.25" x14ac:dyDescent="0.2">
      <c r="D389" s="4" t="s">
        <v>53</v>
      </c>
      <c r="G389" s="63"/>
      <c r="I389" s="106"/>
      <c r="J389" s="106"/>
      <c r="K389" s="106"/>
      <c r="L389" s="106"/>
      <c r="M389" s="37" t="s">
        <v>53</v>
      </c>
    </row>
    <row r="390" spans="1:56" ht="12.75" x14ac:dyDescent="0.2">
      <c r="A390" s="31"/>
      <c r="B390" s="32" t="s">
        <v>262</v>
      </c>
      <c r="C390" s="32"/>
      <c r="D390" s="32"/>
      <c r="E390" s="32"/>
      <c r="F390" s="32"/>
      <c r="G390" s="32"/>
      <c r="H390" s="32"/>
      <c r="I390" s="32"/>
      <c r="J390" s="32"/>
      <c r="K390" s="32" t="s">
        <v>53</v>
      </c>
      <c r="L390" s="79">
        <f>+L388*(1/(1-L362))</f>
        <v>342429.21849489963</v>
      </c>
      <c r="M390" s="42" t="s">
        <v>53</v>
      </c>
      <c r="N390" s="124">
        <f>+L390-L388</f>
        <v>17121.460924744955</v>
      </c>
      <c r="O390" s="142">
        <f>+N390/L388</f>
        <v>5.2631578947368335E-2</v>
      </c>
    </row>
    <row r="391" spans="1:56" ht="12.75" x14ac:dyDescent="0.2">
      <c r="G391" s="4"/>
      <c r="R391" s="120"/>
    </row>
    <row r="392" spans="1:56" s="44" customFormat="1" ht="15.75" x14ac:dyDescent="0.25">
      <c r="A392" s="59">
        <v>4</v>
      </c>
      <c r="B392" s="45" t="s">
        <v>281</v>
      </c>
      <c r="C392" s="43"/>
      <c r="D392" s="43"/>
      <c r="E392" s="43"/>
      <c r="F392" s="43"/>
      <c r="G392" s="43"/>
      <c r="H392" s="43"/>
      <c r="I392" s="43"/>
      <c r="J392" s="43"/>
      <c r="K392" s="43"/>
      <c r="L392" s="43"/>
      <c r="M392" s="43"/>
      <c r="N392" s="114"/>
      <c r="O392" s="114"/>
      <c r="P392" s="114"/>
      <c r="Q392" s="114"/>
      <c r="R392" s="114"/>
      <c r="S392" s="114"/>
      <c r="T392" s="114"/>
      <c r="U392" s="114"/>
      <c r="V392" s="114"/>
      <c r="W392" s="114"/>
      <c r="X392" s="114"/>
      <c r="Y392" s="114"/>
      <c r="Z392" s="114"/>
      <c r="AA392" s="114"/>
      <c r="AB392" s="114"/>
      <c r="AC392" s="43"/>
      <c r="AD392" s="43"/>
      <c r="AE392" s="43"/>
      <c r="AF392" s="43"/>
      <c r="AG392" s="43"/>
      <c r="AH392" s="43"/>
      <c r="AI392" s="43"/>
      <c r="AJ392" s="43"/>
      <c r="AK392" s="43"/>
      <c r="AL392" s="43"/>
      <c r="AM392" s="43"/>
      <c r="AN392" s="43"/>
      <c r="AO392" s="43"/>
      <c r="AP392" s="43"/>
      <c r="AQ392" s="43"/>
      <c r="AR392" s="43"/>
      <c r="AS392" s="43"/>
      <c r="AT392" s="43"/>
      <c r="AU392" s="43"/>
      <c r="AV392" s="43"/>
      <c r="AW392" s="43"/>
      <c r="AX392" s="43"/>
      <c r="AY392" s="43"/>
      <c r="AZ392" s="43"/>
      <c r="BA392" s="43"/>
      <c r="BB392" s="43"/>
      <c r="BC392" s="43"/>
      <c r="BD392" s="43"/>
    </row>
    <row r="393" spans="1:56" ht="12.75" x14ac:dyDescent="0.2">
      <c r="A393" s="106" t="s">
        <v>53</v>
      </c>
      <c r="B393" s="4" t="s">
        <v>53</v>
      </c>
      <c r="E393" s="4" t="s">
        <v>280</v>
      </c>
      <c r="G393" s="4"/>
      <c r="I393" s="162" t="s">
        <v>283</v>
      </c>
      <c r="J393" s="162"/>
      <c r="K393" s="163"/>
      <c r="L393" s="204">
        <f>ROUND((+L390/L351),2)</f>
        <v>5.92</v>
      </c>
      <c r="M393" s="160"/>
      <c r="N393" s="131">
        <v>5.51</v>
      </c>
      <c r="O393" s="131"/>
      <c r="P393" s="131"/>
      <c r="Q393" s="131"/>
    </row>
    <row r="394" spans="1:56" ht="12.75" x14ac:dyDescent="0.2">
      <c r="E394" s="161" t="s">
        <v>235</v>
      </c>
      <c r="F394" s="161"/>
      <c r="G394" s="161"/>
      <c r="H394" s="103"/>
      <c r="I394" s="162"/>
      <c r="J394" s="162"/>
      <c r="K394" s="163"/>
      <c r="L394" s="205"/>
      <c r="M394" s="160"/>
      <c r="N394" s="132"/>
      <c r="O394" s="132"/>
      <c r="P394" s="132"/>
      <c r="Q394" s="131"/>
    </row>
    <row r="395" spans="1:56" s="4" customFormat="1" ht="12.75" x14ac:dyDescent="0.2">
      <c r="A395" s="106"/>
      <c r="M395" s="102"/>
      <c r="N395" s="113"/>
      <c r="O395" s="113"/>
      <c r="P395" s="113"/>
      <c r="Q395" s="113"/>
      <c r="R395" s="113"/>
      <c r="S395" s="113"/>
      <c r="T395" s="113"/>
      <c r="U395" s="113"/>
      <c r="V395" s="113"/>
      <c r="W395" s="113"/>
      <c r="X395" s="113"/>
      <c r="Y395" s="113"/>
      <c r="Z395" s="113"/>
      <c r="AA395" s="113"/>
      <c r="AB395" s="113"/>
    </row>
    <row r="396" spans="1:56" s="4" customFormat="1" ht="12.75" x14ac:dyDescent="0.2">
      <c r="A396" s="106"/>
      <c r="I396" s="162" t="s">
        <v>282</v>
      </c>
      <c r="J396" s="162"/>
      <c r="K396" s="163"/>
      <c r="L396" s="204">
        <f>ROUND((L393*1.33),2)</f>
        <v>7.87</v>
      </c>
      <c r="M396" s="160"/>
      <c r="N396" s="113">
        <v>9.6430000000000007</v>
      </c>
      <c r="O396" s="113" t="s">
        <v>53</v>
      </c>
      <c r="P396" s="113"/>
      <c r="Q396" s="113"/>
      <c r="R396" s="113"/>
      <c r="S396" s="113"/>
      <c r="T396" s="113"/>
      <c r="U396" s="113"/>
      <c r="V396" s="113"/>
      <c r="W396" s="113"/>
      <c r="X396" s="113"/>
      <c r="Y396" s="113"/>
      <c r="Z396" s="113"/>
      <c r="AA396" s="113"/>
      <c r="AB396" s="113"/>
    </row>
    <row r="397" spans="1:56" s="4" customFormat="1" ht="12.75" x14ac:dyDescent="0.2">
      <c r="A397" s="106"/>
      <c r="I397" s="162"/>
      <c r="J397" s="162"/>
      <c r="K397" s="163"/>
      <c r="L397" s="205"/>
      <c r="M397" s="160"/>
      <c r="N397" s="113"/>
      <c r="O397" s="113"/>
      <c r="P397" s="113"/>
      <c r="Q397" s="113"/>
      <c r="R397" s="113"/>
      <c r="S397" s="113"/>
      <c r="T397" s="113"/>
      <c r="U397" s="113"/>
      <c r="V397" s="113"/>
      <c r="W397" s="113"/>
      <c r="X397" s="113"/>
      <c r="Y397" s="113"/>
      <c r="Z397" s="113"/>
      <c r="AA397" s="113"/>
      <c r="AB397" s="113"/>
    </row>
    <row r="398" spans="1:56" s="4" customFormat="1" ht="12.75" x14ac:dyDescent="0.2">
      <c r="A398" s="106"/>
      <c r="M398" s="37"/>
      <c r="N398" s="113"/>
      <c r="O398" s="113"/>
      <c r="P398" s="113"/>
      <c r="Q398" s="113"/>
      <c r="R398" s="113"/>
      <c r="S398" s="113"/>
      <c r="T398" s="113"/>
      <c r="U398" s="113"/>
      <c r="V398" s="113"/>
      <c r="W398" s="113"/>
      <c r="X398" s="113"/>
      <c r="Y398" s="113"/>
      <c r="Z398" s="113"/>
      <c r="AA398" s="113"/>
      <c r="AB398" s="113"/>
    </row>
    <row r="399" spans="1:56" s="4" customFormat="1" ht="12.75" x14ac:dyDescent="0.2">
      <c r="A399" s="106"/>
      <c r="M399" s="37"/>
      <c r="N399" s="113"/>
      <c r="O399" s="113"/>
      <c r="P399" s="113"/>
      <c r="Q399" s="113"/>
      <c r="R399" s="113"/>
      <c r="S399" s="113"/>
      <c r="T399" s="113"/>
      <c r="U399" s="113"/>
      <c r="V399" s="113"/>
      <c r="W399" s="113"/>
      <c r="X399" s="113"/>
      <c r="Y399" s="113"/>
      <c r="Z399" s="113"/>
      <c r="AA399" s="113"/>
      <c r="AB399" s="113"/>
    </row>
    <row r="400" spans="1:56" s="4" customFormat="1" ht="12.75" x14ac:dyDescent="0.2">
      <c r="A400" s="106"/>
      <c r="M400" s="37"/>
      <c r="N400" s="113"/>
      <c r="O400" s="113"/>
      <c r="P400" s="113"/>
      <c r="Q400" s="113"/>
      <c r="R400" s="113"/>
      <c r="S400" s="113"/>
      <c r="T400" s="113"/>
      <c r="U400" s="113"/>
      <c r="V400" s="113"/>
      <c r="W400" s="113"/>
      <c r="X400" s="113"/>
      <c r="Y400" s="113"/>
      <c r="Z400" s="113"/>
      <c r="AA400" s="113"/>
      <c r="AB400" s="113"/>
    </row>
    <row r="401" spans="1:28" s="4" customFormat="1" ht="12.75" x14ac:dyDescent="0.2">
      <c r="A401" s="106"/>
      <c r="M401" s="37"/>
      <c r="N401" s="113"/>
      <c r="O401" s="113"/>
      <c r="P401" s="113"/>
      <c r="Q401" s="113"/>
      <c r="R401" s="113"/>
      <c r="S401" s="113"/>
      <c r="T401" s="113"/>
      <c r="U401" s="113"/>
      <c r="V401" s="113"/>
      <c r="W401" s="113"/>
      <c r="X401" s="113"/>
      <c r="Y401" s="113"/>
      <c r="Z401" s="113"/>
      <c r="AA401" s="113"/>
      <c r="AB401" s="113"/>
    </row>
    <row r="402" spans="1:28" s="4" customFormat="1" ht="12.75" x14ac:dyDescent="0.2">
      <c r="A402" s="106"/>
      <c r="M402" s="37"/>
      <c r="N402" s="113"/>
      <c r="O402" s="113"/>
      <c r="P402" s="113"/>
      <c r="Q402" s="113"/>
      <c r="R402" s="113"/>
      <c r="S402" s="113"/>
      <c r="T402" s="113"/>
      <c r="U402" s="113"/>
      <c r="V402" s="113"/>
      <c r="W402" s="113"/>
      <c r="X402" s="113"/>
      <c r="Y402" s="113"/>
      <c r="Z402" s="113"/>
      <c r="AA402" s="113"/>
      <c r="AB402" s="113"/>
    </row>
    <row r="403" spans="1:28" s="4" customFormat="1" ht="12.75" x14ac:dyDescent="0.2">
      <c r="A403" s="106"/>
      <c r="M403" s="37"/>
      <c r="N403" s="113"/>
      <c r="O403" s="113"/>
      <c r="P403" s="113"/>
      <c r="Q403" s="113"/>
      <c r="R403" s="113"/>
      <c r="S403" s="113"/>
      <c r="T403" s="113"/>
      <c r="U403" s="113"/>
      <c r="V403" s="113"/>
      <c r="W403" s="113"/>
      <c r="X403" s="113"/>
      <c r="Y403" s="113"/>
      <c r="Z403" s="113"/>
      <c r="AA403" s="113"/>
      <c r="AB403" s="113"/>
    </row>
    <row r="404" spans="1:28" s="4" customFormat="1" ht="12.75" x14ac:dyDescent="0.2">
      <c r="A404" s="106"/>
      <c r="M404" s="37"/>
      <c r="N404" s="113"/>
      <c r="O404" s="113"/>
      <c r="P404" s="113"/>
      <c r="Q404" s="113"/>
      <c r="R404" s="113"/>
      <c r="S404" s="113"/>
      <c r="T404" s="113"/>
      <c r="U404" s="113"/>
      <c r="V404" s="113"/>
      <c r="W404" s="113"/>
      <c r="X404" s="113"/>
      <c r="Y404" s="113"/>
      <c r="Z404" s="113"/>
      <c r="AA404" s="113"/>
      <c r="AB404" s="113"/>
    </row>
    <row r="405" spans="1:28" s="4" customFormat="1" ht="12.75" x14ac:dyDescent="0.2">
      <c r="A405" s="106"/>
      <c r="M405" s="37"/>
      <c r="N405" s="113"/>
      <c r="O405" s="113"/>
      <c r="P405" s="113"/>
      <c r="Q405" s="113"/>
      <c r="R405" s="113"/>
      <c r="S405" s="113"/>
      <c r="T405" s="113"/>
      <c r="U405" s="113"/>
      <c r="V405" s="113"/>
      <c r="W405" s="113"/>
      <c r="X405" s="113"/>
      <c r="Y405" s="113"/>
      <c r="Z405" s="113"/>
      <c r="AA405" s="113"/>
      <c r="AB405" s="113"/>
    </row>
    <row r="406" spans="1:28" s="4" customFormat="1" ht="12.75" x14ac:dyDescent="0.2">
      <c r="A406" s="106"/>
      <c r="M406" s="37"/>
      <c r="N406" s="113"/>
      <c r="O406" s="113"/>
      <c r="P406" s="113"/>
      <c r="Q406" s="113"/>
      <c r="R406" s="113"/>
      <c r="S406" s="113"/>
      <c r="T406" s="113"/>
      <c r="U406" s="113"/>
      <c r="V406" s="113"/>
      <c r="W406" s="113"/>
      <c r="X406" s="113"/>
      <c r="Y406" s="113"/>
      <c r="Z406" s="113"/>
      <c r="AA406" s="113"/>
      <c r="AB406" s="113"/>
    </row>
    <row r="407" spans="1:28" s="4" customFormat="1" ht="12.75" x14ac:dyDescent="0.2">
      <c r="A407" s="106"/>
      <c r="M407" s="37"/>
      <c r="N407" s="113"/>
      <c r="O407" s="113"/>
      <c r="P407" s="113"/>
      <c r="Q407" s="113"/>
      <c r="R407" s="113"/>
      <c r="S407" s="113"/>
      <c r="T407" s="113"/>
      <c r="U407" s="113"/>
      <c r="V407" s="113"/>
      <c r="W407" s="113"/>
      <c r="X407" s="113"/>
      <c r="Y407" s="113"/>
      <c r="Z407" s="113"/>
      <c r="AA407" s="113"/>
      <c r="AB407" s="113"/>
    </row>
    <row r="408" spans="1:28" s="4" customFormat="1" ht="12.75" x14ac:dyDescent="0.2">
      <c r="A408" s="106"/>
      <c r="M408" s="37"/>
      <c r="N408" s="113"/>
      <c r="O408" s="113"/>
      <c r="P408" s="113"/>
      <c r="Q408" s="113"/>
      <c r="R408" s="113"/>
      <c r="S408" s="113"/>
      <c r="T408" s="113"/>
      <c r="U408" s="113"/>
      <c r="V408" s="113"/>
      <c r="W408" s="113"/>
      <c r="X408" s="113"/>
      <c r="Y408" s="113"/>
      <c r="Z408" s="113"/>
      <c r="AA408" s="113"/>
      <c r="AB408" s="113"/>
    </row>
    <row r="409" spans="1:28" s="4" customFormat="1" ht="12.75" x14ac:dyDescent="0.2">
      <c r="A409" s="106"/>
      <c r="M409" s="37"/>
      <c r="N409" s="113"/>
      <c r="O409" s="113"/>
      <c r="P409" s="113"/>
      <c r="Q409" s="113"/>
      <c r="R409" s="113"/>
      <c r="S409" s="113"/>
      <c r="T409" s="113"/>
      <c r="U409" s="113"/>
      <c r="V409" s="113"/>
      <c r="W409" s="113"/>
      <c r="X409" s="113"/>
      <c r="Y409" s="113"/>
      <c r="Z409" s="113"/>
      <c r="AA409" s="113"/>
      <c r="AB409" s="113"/>
    </row>
    <row r="410" spans="1:28" s="4" customFormat="1" ht="12.75" x14ac:dyDescent="0.2">
      <c r="A410" s="106"/>
      <c r="M410" s="37"/>
      <c r="N410" s="113"/>
      <c r="O410" s="113"/>
      <c r="P410" s="113"/>
      <c r="Q410" s="113"/>
      <c r="R410" s="113"/>
      <c r="S410" s="113"/>
      <c r="T410" s="113"/>
      <c r="U410" s="113"/>
      <c r="V410" s="113"/>
      <c r="W410" s="113"/>
      <c r="X410" s="113"/>
      <c r="Y410" s="113"/>
      <c r="Z410" s="113"/>
      <c r="AA410" s="113"/>
      <c r="AB410" s="113"/>
    </row>
    <row r="411" spans="1:28" s="4" customFormat="1" ht="12.75" x14ac:dyDescent="0.2">
      <c r="A411" s="106"/>
      <c r="M411" s="37"/>
      <c r="N411" s="113"/>
      <c r="O411" s="113"/>
      <c r="P411" s="113"/>
      <c r="Q411" s="113"/>
      <c r="R411" s="113"/>
      <c r="S411" s="113"/>
      <c r="T411" s="113"/>
      <c r="U411" s="113"/>
      <c r="V411" s="113"/>
      <c r="W411" s="113"/>
      <c r="X411" s="113"/>
      <c r="Y411" s="113"/>
      <c r="Z411" s="113"/>
      <c r="AA411" s="113"/>
      <c r="AB411" s="113"/>
    </row>
    <row r="412" spans="1:28" s="4" customFormat="1" ht="12.75" x14ac:dyDescent="0.2">
      <c r="A412" s="106"/>
      <c r="M412" s="37"/>
      <c r="N412" s="113"/>
      <c r="O412" s="113"/>
      <c r="P412" s="113"/>
      <c r="Q412" s="113"/>
      <c r="R412" s="113"/>
      <c r="S412" s="113"/>
      <c r="T412" s="113"/>
      <c r="U412" s="113"/>
      <c r="V412" s="113"/>
      <c r="W412" s="113"/>
      <c r="X412" s="113"/>
      <c r="Y412" s="113"/>
      <c r="Z412" s="113"/>
      <c r="AA412" s="113"/>
      <c r="AB412" s="113"/>
    </row>
    <row r="413" spans="1:28" s="4" customFormat="1" ht="12.75" x14ac:dyDescent="0.2">
      <c r="A413" s="106"/>
      <c r="M413" s="37"/>
      <c r="N413" s="113"/>
      <c r="O413" s="113"/>
      <c r="P413" s="113"/>
      <c r="Q413" s="113"/>
      <c r="R413" s="113"/>
      <c r="S413" s="113"/>
      <c r="T413" s="113"/>
      <c r="U413" s="113"/>
      <c r="V413" s="113"/>
      <c r="W413" s="113"/>
      <c r="X413" s="113"/>
      <c r="Y413" s="113"/>
      <c r="Z413" s="113"/>
      <c r="AA413" s="113"/>
      <c r="AB413" s="113"/>
    </row>
    <row r="414" spans="1:28" s="4" customFormat="1" ht="12.75" x14ac:dyDescent="0.2">
      <c r="A414" s="106"/>
      <c r="M414" s="37"/>
      <c r="N414" s="113"/>
      <c r="O414" s="113"/>
      <c r="P414" s="113"/>
      <c r="Q414" s="113"/>
      <c r="R414" s="113"/>
      <c r="S414" s="113"/>
      <c r="T414" s="113"/>
      <c r="U414" s="113"/>
      <c r="V414" s="113"/>
      <c r="W414" s="113"/>
      <c r="X414" s="113"/>
      <c r="Y414" s="113"/>
      <c r="Z414" s="113"/>
      <c r="AA414" s="113"/>
      <c r="AB414" s="113"/>
    </row>
    <row r="415" spans="1:28" s="4" customFormat="1" ht="12.75" x14ac:dyDescent="0.2">
      <c r="A415" s="106"/>
      <c r="M415" s="37"/>
      <c r="N415" s="113"/>
      <c r="O415" s="113"/>
      <c r="P415" s="113"/>
      <c r="Q415" s="113"/>
      <c r="R415" s="113"/>
      <c r="S415" s="113"/>
      <c r="T415" s="113"/>
      <c r="U415" s="113"/>
      <c r="V415" s="113"/>
      <c r="W415" s="113"/>
      <c r="X415" s="113"/>
      <c r="Y415" s="113"/>
      <c r="Z415" s="113"/>
      <c r="AA415" s="113"/>
      <c r="AB415" s="113"/>
    </row>
    <row r="416" spans="1:28" s="4" customFormat="1" ht="12.75" x14ac:dyDescent="0.2">
      <c r="A416" s="106"/>
      <c r="M416" s="37"/>
      <c r="N416" s="113"/>
      <c r="O416" s="113"/>
      <c r="P416" s="113"/>
      <c r="Q416" s="113"/>
      <c r="R416" s="113"/>
      <c r="S416" s="113"/>
      <c r="T416" s="113"/>
      <c r="U416" s="113"/>
      <c r="V416" s="113"/>
      <c r="W416" s="113"/>
      <c r="X416" s="113"/>
      <c r="Y416" s="113"/>
      <c r="Z416" s="113"/>
      <c r="AA416" s="113"/>
      <c r="AB416" s="113"/>
    </row>
    <row r="417" spans="1:28" s="4" customFormat="1" ht="12.75" x14ac:dyDescent="0.2">
      <c r="A417" s="106"/>
      <c r="M417" s="37"/>
      <c r="N417" s="113"/>
      <c r="O417" s="113"/>
      <c r="P417" s="113"/>
      <c r="Q417" s="113"/>
      <c r="R417" s="113"/>
      <c r="S417" s="113"/>
      <c r="T417" s="113"/>
      <c r="U417" s="113"/>
      <c r="V417" s="113"/>
      <c r="W417" s="113"/>
      <c r="X417" s="113"/>
      <c r="Y417" s="113"/>
      <c r="Z417" s="113"/>
      <c r="AA417" s="113"/>
      <c r="AB417" s="113"/>
    </row>
    <row r="418" spans="1:28" s="4" customFormat="1" ht="12.75" x14ac:dyDescent="0.2">
      <c r="A418" s="106"/>
      <c r="M418" s="37"/>
      <c r="N418" s="113"/>
      <c r="O418" s="113"/>
      <c r="P418" s="113"/>
      <c r="Q418" s="113"/>
      <c r="R418" s="113"/>
      <c r="S418" s="113"/>
      <c r="T418" s="113"/>
      <c r="U418" s="113"/>
      <c r="V418" s="113"/>
      <c r="W418" s="113"/>
      <c r="X418" s="113"/>
      <c r="Y418" s="113"/>
      <c r="Z418" s="113"/>
      <c r="AA418" s="113"/>
      <c r="AB418" s="113"/>
    </row>
    <row r="419" spans="1:28" s="4" customFormat="1" ht="12.75" x14ac:dyDescent="0.2">
      <c r="A419" s="106"/>
      <c r="M419" s="37"/>
      <c r="N419" s="113"/>
      <c r="O419" s="113"/>
      <c r="P419" s="113"/>
      <c r="Q419" s="113"/>
      <c r="R419" s="113"/>
      <c r="S419" s="113"/>
      <c r="T419" s="113"/>
      <c r="U419" s="113"/>
      <c r="V419" s="113"/>
      <c r="W419" s="113"/>
      <c r="X419" s="113"/>
      <c r="Y419" s="113"/>
      <c r="Z419" s="113"/>
      <c r="AA419" s="113"/>
      <c r="AB419" s="113"/>
    </row>
    <row r="420" spans="1:28" s="4" customFormat="1" ht="12.75" x14ac:dyDescent="0.2">
      <c r="A420" s="106"/>
      <c r="M420" s="37"/>
      <c r="N420" s="113"/>
      <c r="O420" s="113"/>
      <c r="P420" s="113"/>
      <c r="Q420" s="113"/>
      <c r="R420" s="113"/>
      <c r="S420" s="113"/>
      <c r="T420" s="113"/>
      <c r="U420" s="113"/>
      <c r="V420" s="113"/>
      <c r="W420" s="113"/>
      <c r="X420" s="113"/>
      <c r="Y420" s="113"/>
      <c r="Z420" s="113"/>
      <c r="AA420" s="113"/>
      <c r="AB420" s="113"/>
    </row>
    <row r="421" spans="1:28" s="4" customFormat="1" ht="12.75" x14ac:dyDescent="0.2">
      <c r="A421" s="106"/>
      <c r="M421" s="37"/>
      <c r="N421" s="113"/>
      <c r="O421" s="113"/>
      <c r="P421" s="113"/>
      <c r="Q421" s="113"/>
      <c r="R421" s="113"/>
      <c r="S421" s="113"/>
      <c r="T421" s="113"/>
      <c r="U421" s="113"/>
      <c r="V421" s="113"/>
      <c r="W421" s="113"/>
      <c r="X421" s="113"/>
      <c r="Y421" s="113"/>
      <c r="Z421" s="113"/>
      <c r="AA421" s="113"/>
      <c r="AB421" s="113"/>
    </row>
    <row r="422" spans="1:28" s="4" customFormat="1" ht="12.75" x14ac:dyDescent="0.2">
      <c r="A422" s="106"/>
      <c r="M422" s="37"/>
      <c r="N422" s="113"/>
      <c r="O422" s="113"/>
      <c r="P422" s="113"/>
      <c r="Q422" s="113"/>
      <c r="R422" s="113"/>
      <c r="S422" s="113"/>
      <c r="T422" s="113"/>
      <c r="U422" s="113"/>
      <c r="V422" s="113"/>
      <c r="W422" s="113"/>
      <c r="X422" s="113"/>
      <c r="Y422" s="113"/>
      <c r="Z422" s="113"/>
      <c r="AA422" s="113"/>
      <c r="AB422" s="113"/>
    </row>
    <row r="423" spans="1:28" s="4" customFormat="1" ht="12.75" x14ac:dyDescent="0.2">
      <c r="A423" s="106"/>
      <c r="M423" s="37"/>
      <c r="N423" s="113"/>
      <c r="O423" s="113"/>
      <c r="P423" s="113"/>
      <c r="Q423" s="113"/>
      <c r="R423" s="113"/>
      <c r="S423" s="113"/>
      <c r="T423" s="113"/>
      <c r="U423" s="113"/>
      <c r="V423" s="113"/>
      <c r="W423" s="113"/>
      <c r="X423" s="113"/>
      <c r="Y423" s="113"/>
      <c r="Z423" s="113"/>
      <c r="AA423" s="113"/>
      <c r="AB423" s="113"/>
    </row>
    <row r="424" spans="1:28" s="4" customFormat="1" ht="12.75" x14ac:dyDescent="0.2">
      <c r="A424" s="106"/>
      <c r="M424" s="37"/>
      <c r="N424" s="113"/>
      <c r="O424" s="113"/>
      <c r="P424" s="113"/>
      <c r="Q424" s="113"/>
      <c r="R424" s="113"/>
      <c r="S424" s="113"/>
      <c r="T424" s="113"/>
      <c r="U424" s="113"/>
      <c r="V424" s="113"/>
      <c r="W424" s="113"/>
      <c r="X424" s="113"/>
      <c r="Y424" s="113"/>
      <c r="Z424" s="113"/>
      <c r="AA424" s="113"/>
      <c r="AB424" s="113"/>
    </row>
    <row r="425" spans="1:28" s="4" customFormat="1" ht="12.75" x14ac:dyDescent="0.2">
      <c r="A425" s="106"/>
      <c r="M425" s="37"/>
      <c r="N425" s="113"/>
      <c r="O425" s="113"/>
      <c r="P425" s="113"/>
      <c r="Q425" s="113"/>
      <c r="R425" s="113"/>
      <c r="S425" s="113"/>
      <c r="T425" s="113"/>
      <c r="U425" s="113"/>
      <c r="V425" s="113"/>
      <c r="W425" s="113"/>
      <c r="X425" s="113"/>
      <c r="Y425" s="113"/>
      <c r="Z425" s="113"/>
      <c r="AA425" s="113"/>
      <c r="AB425" s="113"/>
    </row>
    <row r="426" spans="1:28" s="4" customFormat="1" ht="12.75" x14ac:dyDescent="0.2">
      <c r="A426" s="106"/>
      <c r="M426" s="37"/>
      <c r="N426" s="113"/>
      <c r="O426" s="113"/>
      <c r="P426" s="113"/>
      <c r="Q426" s="113"/>
      <c r="R426" s="113"/>
      <c r="S426" s="113"/>
      <c r="T426" s="113"/>
      <c r="U426" s="113"/>
      <c r="V426" s="113"/>
      <c r="W426" s="113"/>
      <c r="X426" s="113"/>
      <c r="Y426" s="113"/>
      <c r="Z426" s="113"/>
      <c r="AA426" s="113"/>
      <c r="AB426" s="113"/>
    </row>
    <row r="427" spans="1:28" s="4" customFormat="1" ht="12.75" x14ac:dyDescent="0.2">
      <c r="A427" s="106"/>
      <c r="M427" s="37"/>
      <c r="N427" s="113"/>
      <c r="O427" s="113"/>
      <c r="P427" s="113"/>
      <c r="Q427" s="113"/>
      <c r="R427" s="113"/>
      <c r="S427" s="113"/>
      <c r="T427" s="113"/>
      <c r="U427" s="113"/>
      <c r="V427" s="113"/>
      <c r="W427" s="113"/>
      <c r="X427" s="113"/>
      <c r="Y427" s="113"/>
      <c r="Z427" s="113"/>
      <c r="AA427" s="113"/>
      <c r="AB427" s="113"/>
    </row>
    <row r="428" spans="1:28" s="4" customFormat="1" ht="12.75" x14ac:dyDescent="0.2">
      <c r="A428" s="106"/>
      <c r="M428" s="37"/>
      <c r="N428" s="113"/>
      <c r="O428" s="113"/>
      <c r="P428" s="113"/>
      <c r="Q428" s="113"/>
      <c r="R428" s="113"/>
      <c r="S428" s="113"/>
      <c r="T428" s="113"/>
      <c r="U428" s="113"/>
      <c r="V428" s="113"/>
      <c r="W428" s="113"/>
      <c r="X428" s="113"/>
      <c r="Y428" s="113"/>
      <c r="Z428" s="113"/>
      <c r="AA428" s="113"/>
      <c r="AB428" s="113"/>
    </row>
    <row r="429" spans="1:28" s="4" customFormat="1" ht="12.75" x14ac:dyDescent="0.2">
      <c r="A429" s="106"/>
      <c r="M429" s="37"/>
      <c r="N429" s="113"/>
      <c r="O429" s="113"/>
      <c r="P429" s="113"/>
      <c r="Q429" s="113"/>
      <c r="R429" s="113"/>
      <c r="S429" s="113"/>
      <c r="T429" s="113"/>
      <c r="U429" s="113"/>
      <c r="V429" s="113"/>
      <c r="W429" s="113"/>
      <c r="X429" s="113"/>
      <c r="Y429" s="113"/>
      <c r="Z429" s="113"/>
      <c r="AA429" s="113"/>
      <c r="AB429" s="113"/>
    </row>
    <row r="430" spans="1:28" s="4" customFormat="1" ht="12.75" x14ac:dyDescent="0.2">
      <c r="A430" s="106"/>
      <c r="M430" s="37"/>
      <c r="N430" s="113"/>
      <c r="O430" s="113"/>
      <c r="P430" s="113"/>
      <c r="Q430" s="113"/>
      <c r="R430" s="113"/>
      <c r="S430" s="113"/>
      <c r="T430" s="113"/>
      <c r="U430" s="113"/>
      <c r="V430" s="113"/>
      <c r="W430" s="113"/>
      <c r="X430" s="113"/>
      <c r="Y430" s="113"/>
      <c r="Z430" s="113"/>
      <c r="AA430" s="113"/>
      <c r="AB430" s="113"/>
    </row>
    <row r="431" spans="1:28" s="4" customFormat="1" ht="12.75" x14ac:dyDescent="0.2">
      <c r="A431" s="106"/>
      <c r="M431" s="37"/>
      <c r="N431" s="113"/>
      <c r="O431" s="113"/>
      <c r="P431" s="113"/>
      <c r="Q431" s="113"/>
      <c r="R431" s="113"/>
      <c r="S431" s="113"/>
      <c r="T431" s="113"/>
      <c r="U431" s="113"/>
      <c r="V431" s="113"/>
      <c r="W431" s="113"/>
      <c r="X431" s="113"/>
      <c r="Y431" s="113"/>
      <c r="Z431" s="113"/>
      <c r="AA431" s="113"/>
      <c r="AB431" s="113"/>
    </row>
    <row r="432" spans="1:28" s="4" customFormat="1" ht="12.75" x14ac:dyDescent="0.2">
      <c r="A432" s="106"/>
      <c r="M432" s="37"/>
      <c r="N432" s="113"/>
      <c r="O432" s="113"/>
      <c r="P432" s="113"/>
      <c r="Q432" s="113"/>
      <c r="R432" s="113"/>
      <c r="S432" s="113"/>
      <c r="T432" s="113"/>
      <c r="U432" s="113"/>
      <c r="V432" s="113"/>
      <c r="W432" s="113"/>
      <c r="X432" s="113"/>
      <c r="Y432" s="113"/>
      <c r="Z432" s="113"/>
      <c r="AA432" s="113"/>
      <c r="AB432" s="113"/>
    </row>
    <row r="433" spans="1:28" s="4" customFormat="1" ht="12.75" x14ac:dyDescent="0.2">
      <c r="A433" s="106"/>
      <c r="M433" s="37"/>
      <c r="N433" s="113"/>
      <c r="O433" s="113"/>
      <c r="P433" s="113"/>
      <c r="Q433" s="113"/>
      <c r="R433" s="113"/>
      <c r="S433" s="113"/>
      <c r="T433" s="113"/>
      <c r="U433" s="113"/>
      <c r="V433" s="113"/>
      <c r="W433" s="113"/>
      <c r="X433" s="113"/>
      <c r="Y433" s="113"/>
      <c r="Z433" s="113"/>
      <c r="AA433" s="113"/>
      <c r="AB433" s="113"/>
    </row>
    <row r="434" spans="1:28" s="4" customFormat="1" ht="12.75" x14ac:dyDescent="0.2">
      <c r="A434" s="106"/>
      <c r="M434" s="37"/>
      <c r="N434" s="113"/>
      <c r="O434" s="113"/>
      <c r="P434" s="113"/>
      <c r="Q434" s="113"/>
      <c r="R434" s="113"/>
      <c r="S434" s="113"/>
      <c r="T434" s="113"/>
      <c r="U434" s="113"/>
      <c r="V434" s="113"/>
      <c r="W434" s="113"/>
      <c r="X434" s="113"/>
      <c r="Y434" s="113"/>
      <c r="Z434" s="113"/>
      <c r="AA434" s="113"/>
      <c r="AB434" s="113"/>
    </row>
    <row r="435" spans="1:28" s="4" customFormat="1" ht="12.75" x14ac:dyDescent="0.2">
      <c r="A435" s="106"/>
      <c r="M435" s="37"/>
      <c r="N435" s="113"/>
      <c r="O435" s="113"/>
      <c r="P435" s="113"/>
      <c r="Q435" s="113"/>
      <c r="R435" s="113"/>
      <c r="S435" s="113"/>
      <c r="T435" s="113"/>
      <c r="U435" s="113"/>
      <c r="V435" s="113"/>
      <c r="W435" s="113"/>
      <c r="X435" s="113"/>
      <c r="Y435" s="113"/>
      <c r="Z435" s="113"/>
      <c r="AA435" s="113"/>
      <c r="AB435" s="113"/>
    </row>
    <row r="436" spans="1:28" s="4" customFormat="1" ht="12.75" x14ac:dyDescent="0.2">
      <c r="A436" s="106"/>
      <c r="M436" s="37"/>
      <c r="N436" s="113"/>
      <c r="O436" s="113"/>
      <c r="P436" s="113"/>
      <c r="Q436" s="113"/>
      <c r="R436" s="113"/>
      <c r="S436" s="113"/>
      <c r="T436" s="113"/>
      <c r="U436" s="113"/>
      <c r="V436" s="113"/>
      <c r="W436" s="113"/>
      <c r="X436" s="113"/>
      <c r="Y436" s="113"/>
      <c r="Z436" s="113"/>
      <c r="AA436" s="113"/>
      <c r="AB436" s="113"/>
    </row>
    <row r="437" spans="1:28" s="4" customFormat="1" ht="12.75" x14ac:dyDescent="0.2">
      <c r="A437" s="106"/>
      <c r="M437" s="37"/>
      <c r="N437" s="113"/>
      <c r="O437" s="113"/>
      <c r="P437" s="113"/>
      <c r="Q437" s="113"/>
      <c r="R437" s="113"/>
      <c r="S437" s="113"/>
      <c r="T437" s="113"/>
      <c r="U437" s="113"/>
      <c r="V437" s="113"/>
      <c r="W437" s="113"/>
      <c r="X437" s="113"/>
      <c r="Y437" s="113"/>
      <c r="Z437" s="113"/>
      <c r="AA437" s="113"/>
      <c r="AB437" s="113"/>
    </row>
    <row r="438" spans="1:28" s="4" customFormat="1" ht="12.75" x14ac:dyDescent="0.2">
      <c r="A438" s="106"/>
      <c r="M438" s="37"/>
      <c r="N438" s="113"/>
      <c r="O438" s="113"/>
      <c r="P438" s="113"/>
      <c r="Q438" s="113"/>
      <c r="R438" s="113"/>
      <c r="S438" s="113"/>
      <c r="T438" s="113"/>
      <c r="U438" s="113"/>
      <c r="V438" s="113"/>
      <c r="W438" s="113"/>
      <c r="X438" s="113"/>
      <c r="Y438" s="113"/>
      <c r="Z438" s="113"/>
      <c r="AA438" s="113"/>
      <c r="AB438" s="113"/>
    </row>
    <row r="439" spans="1:28" s="4" customFormat="1" ht="12.75" x14ac:dyDescent="0.2">
      <c r="A439" s="106"/>
      <c r="M439" s="37"/>
      <c r="N439" s="113"/>
      <c r="O439" s="113"/>
      <c r="P439" s="113"/>
      <c r="Q439" s="113"/>
      <c r="R439" s="113"/>
      <c r="S439" s="113"/>
      <c r="T439" s="113"/>
      <c r="U439" s="113"/>
      <c r="V439" s="113"/>
      <c r="W439" s="113"/>
      <c r="X439" s="113"/>
      <c r="Y439" s="113"/>
      <c r="Z439" s="113"/>
      <c r="AA439" s="113"/>
      <c r="AB439" s="113"/>
    </row>
    <row r="440" spans="1:28" s="4" customFormat="1" ht="12.75" x14ac:dyDescent="0.2">
      <c r="A440" s="106"/>
      <c r="M440" s="37"/>
      <c r="N440" s="113"/>
      <c r="O440" s="113"/>
      <c r="P440" s="113"/>
      <c r="Q440" s="113"/>
      <c r="R440" s="113"/>
      <c r="S440" s="113"/>
      <c r="T440" s="113"/>
      <c r="U440" s="113"/>
      <c r="V440" s="113"/>
      <c r="W440" s="113"/>
      <c r="X440" s="113"/>
      <c r="Y440" s="113"/>
      <c r="Z440" s="113"/>
      <c r="AA440" s="113"/>
      <c r="AB440" s="113"/>
    </row>
    <row r="441" spans="1:28" s="4" customFormat="1" ht="12.75" x14ac:dyDescent="0.2">
      <c r="A441" s="106"/>
      <c r="M441" s="37"/>
      <c r="N441" s="113"/>
      <c r="O441" s="113"/>
      <c r="P441" s="113"/>
      <c r="Q441" s="113"/>
      <c r="R441" s="113"/>
      <c r="S441" s="113"/>
      <c r="T441" s="113"/>
      <c r="U441" s="113"/>
      <c r="V441" s="113"/>
      <c r="W441" s="113"/>
      <c r="X441" s="113"/>
      <c r="Y441" s="113"/>
      <c r="Z441" s="113"/>
      <c r="AA441" s="113"/>
      <c r="AB441" s="113"/>
    </row>
    <row r="442" spans="1:28" s="4" customFormat="1" ht="12.75" x14ac:dyDescent="0.2">
      <c r="A442" s="106"/>
      <c r="M442" s="37"/>
      <c r="N442" s="113"/>
      <c r="O442" s="113"/>
      <c r="P442" s="113"/>
      <c r="Q442" s="113"/>
      <c r="R442" s="113"/>
      <c r="S442" s="113"/>
      <c r="T442" s="113"/>
      <c r="U442" s="113"/>
      <c r="V442" s="113"/>
      <c r="W442" s="113"/>
      <c r="X442" s="113"/>
      <c r="Y442" s="113"/>
      <c r="Z442" s="113"/>
      <c r="AA442" s="113"/>
      <c r="AB442" s="113"/>
    </row>
    <row r="443" spans="1:28" s="4" customFormat="1" ht="12.75" x14ac:dyDescent="0.2">
      <c r="A443" s="106"/>
      <c r="M443" s="37"/>
      <c r="N443" s="113"/>
      <c r="O443" s="113"/>
      <c r="P443" s="113"/>
      <c r="Q443" s="113"/>
      <c r="R443" s="113"/>
      <c r="S443" s="113"/>
      <c r="T443" s="113"/>
      <c r="U443" s="113"/>
      <c r="V443" s="113"/>
      <c r="W443" s="113"/>
      <c r="X443" s="113"/>
      <c r="Y443" s="113"/>
      <c r="Z443" s="113"/>
      <c r="AA443" s="113"/>
      <c r="AB443" s="113"/>
    </row>
    <row r="444" spans="1:28" s="4" customFormat="1" ht="12.75" x14ac:dyDescent="0.2">
      <c r="A444" s="106"/>
      <c r="M444" s="37"/>
      <c r="N444" s="113"/>
      <c r="O444" s="113"/>
      <c r="P444" s="113"/>
      <c r="Q444" s="113"/>
      <c r="R444" s="113"/>
      <c r="S444" s="113"/>
      <c r="T444" s="113"/>
      <c r="U444" s="113"/>
      <c r="V444" s="113"/>
      <c r="W444" s="113"/>
      <c r="X444" s="113"/>
      <c r="Y444" s="113"/>
      <c r="Z444" s="113"/>
      <c r="AA444" s="113"/>
      <c r="AB444" s="113"/>
    </row>
    <row r="445" spans="1:28" s="4" customFormat="1" ht="12.75" x14ac:dyDescent="0.2">
      <c r="A445" s="106"/>
      <c r="M445" s="37"/>
      <c r="N445" s="113"/>
      <c r="O445" s="113"/>
      <c r="P445" s="113"/>
      <c r="Q445" s="113"/>
      <c r="R445" s="113"/>
      <c r="S445" s="113"/>
      <c r="T445" s="113"/>
      <c r="U445" s="113"/>
      <c r="V445" s="113"/>
      <c r="W445" s="113"/>
      <c r="X445" s="113"/>
      <c r="Y445" s="113"/>
      <c r="Z445" s="113"/>
      <c r="AA445" s="113"/>
      <c r="AB445" s="113"/>
    </row>
    <row r="446" spans="1:28" s="4" customFormat="1" ht="12.75" x14ac:dyDescent="0.2">
      <c r="A446" s="106"/>
      <c r="M446" s="37"/>
      <c r="N446" s="113"/>
      <c r="O446" s="113"/>
      <c r="P446" s="113"/>
      <c r="Q446" s="113"/>
      <c r="R446" s="113"/>
      <c r="S446" s="113"/>
      <c r="T446" s="113"/>
      <c r="U446" s="113"/>
      <c r="V446" s="113"/>
      <c r="W446" s="113"/>
      <c r="X446" s="113"/>
      <c r="Y446" s="113"/>
      <c r="Z446" s="113"/>
      <c r="AA446" s="113"/>
      <c r="AB446" s="113"/>
    </row>
    <row r="447" spans="1:28" s="4" customFormat="1" ht="12.75" x14ac:dyDescent="0.2">
      <c r="A447" s="106"/>
      <c r="M447" s="37"/>
      <c r="N447" s="113"/>
      <c r="O447" s="113"/>
      <c r="P447" s="113"/>
      <c r="Q447" s="113"/>
      <c r="R447" s="113"/>
      <c r="S447" s="113"/>
      <c r="T447" s="113"/>
      <c r="U447" s="113"/>
      <c r="V447" s="113"/>
      <c r="W447" s="113"/>
      <c r="X447" s="113"/>
      <c r="Y447" s="113"/>
      <c r="Z447" s="113"/>
      <c r="AA447" s="113"/>
      <c r="AB447" s="113"/>
    </row>
    <row r="448" spans="1:28" s="4" customFormat="1" ht="12.75" x14ac:dyDescent="0.2">
      <c r="A448" s="106"/>
      <c r="M448" s="37"/>
      <c r="N448" s="113"/>
      <c r="O448" s="113"/>
      <c r="P448" s="113"/>
      <c r="Q448" s="113"/>
      <c r="R448" s="113"/>
      <c r="S448" s="113"/>
      <c r="T448" s="113"/>
      <c r="U448" s="113"/>
      <c r="V448" s="113"/>
      <c r="W448" s="113"/>
      <c r="X448" s="113"/>
      <c r="Y448" s="113"/>
      <c r="Z448" s="113"/>
      <c r="AA448" s="113"/>
      <c r="AB448" s="113"/>
    </row>
    <row r="449" spans="1:28" s="4" customFormat="1" ht="12.75" x14ac:dyDescent="0.2">
      <c r="A449" s="106"/>
      <c r="M449" s="37"/>
      <c r="N449" s="113"/>
      <c r="O449" s="113"/>
      <c r="P449" s="113"/>
      <c r="Q449" s="113"/>
      <c r="R449" s="113"/>
      <c r="S449" s="113"/>
      <c r="T449" s="113"/>
      <c r="U449" s="113"/>
      <c r="V449" s="113"/>
      <c r="W449" s="113"/>
      <c r="X449" s="113"/>
      <c r="Y449" s="113"/>
      <c r="Z449" s="113"/>
      <c r="AA449" s="113"/>
      <c r="AB449" s="113"/>
    </row>
    <row r="450" spans="1:28" s="4" customFormat="1" ht="12.75" x14ac:dyDescent="0.2">
      <c r="A450" s="106"/>
      <c r="M450" s="37"/>
      <c r="N450" s="113"/>
      <c r="O450" s="113"/>
      <c r="P450" s="113"/>
      <c r="Q450" s="113"/>
      <c r="R450" s="113"/>
      <c r="S450" s="113"/>
      <c r="T450" s="113"/>
      <c r="U450" s="113"/>
      <c r="V450" s="113"/>
      <c r="W450" s="113"/>
      <c r="X450" s="113"/>
      <c r="Y450" s="113"/>
      <c r="Z450" s="113"/>
      <c r="AA450" s="113"/>
      <c r="AB450" s="113"/>
    </row>
    <row r="451" spans="1:28" s="4" customFormat="1" ht="12.75" x14ac:dyDescent="0.2">
      <c r="A451" s="106"/>
      <c r="M451" s="37"/>
      <c r="N451" s="113"/>
      <c r="O451" s="113"/>
      <c r="P451" s="113"/>
      <c r="Q451" s="113"/>
      <c r="R451" s="113"/>
      <c r="S451" s="113"/>
      <c r="T451" s="113"/>
      <c r="U451" s="113"/>
      <c r="V451" s="113"/>
      <c r="W451" s="113"/>
      <c r="X451" s="113"/>
      <c r="Y451" s="113"/>
      <c r="Z451" s="113"/>
      <c r="AA451" s="113"/>
      <c r="AB451" s="113"/>
    </row>
    <row r="452" spans="1:28" s="4" customFormat="1" ht="12.75" x14ac:dyDescent="0.2">
      <c r="A452" s="106"/>
      <c r="M452" s="37"/>
      <c r="N452" s="113"/>
      <c r="O452" s="113"/>
      <c r="P452" s="113"/>
      <c r="Q452" s="113"/>
      <c r="R452" s="113"/>
      <c r="S452" s="113"/>
      <c r="T452" s="113"/>
      <c r="U452" s="113"/>
      <c r="V452" s="113"/>
      <c r="W452" s="113"/>
      <c r="X452" s="113"/>
      <c r="Y452" s="113"/>
      <c r="Z452" s="113"/>
      <c r="AA452" s="113"/>
      <c r="AB452" s="113"/>
    </row>
    <row r="453" spans="1:28" s="4" customFormat="1" ht="12.75" x14ac:dyDescent="0.2">
      <c r="A453" s="106"/>
      <c r="M453" s="37"/>
      <c r="N453" s="113"/>
      <c r="O453" s="113"/>
      <c r="P453" s="113"/>
      <c r="Q453" s="113"/>
      <c r="R453" s="113"/>
      <c r="S453" s="113"/>
      <c r="T453" s="113"/>
      <c r="U453" s="113"/>
      <c r="V453" s="113"/>
      <c r="W453" s="113"/>
      <c r="X453" s="113"/>
      <c r="Y453" s="113"/>
      <c r="Z453" s="113"/>
      <c r="AA453" s="113"/>
      <c r="AB453" s="113"/>
    </row>
    <row r="454" spans="1:28" s="4" customFormat="1" ht="12.75" x14ac:dyDescent="0.2">
      <c r="A454" s="106"/>
      <c r="M454" s="37"/>
      <c r="N454" s="113"/>
      <c r="O454" s="113"/>
      <c r="P454" s="113"/>
      <c r="Q454" s="113"/>
      <c r="R454" s="113"/>
      <c r="S454" s="113"/>
      <c r="T454" s="113"/>
      <c r="U454" s="113"/>
      <c r="V454" s="113"/>
      <c r="W454" s="113"/>
      <c r="X454" s="113"/>
      <c r="Y454" s="113"/>
      <c r="Z454" s="113"/>
      <c r="AA454" s="113"/>
      <c r="AB454" s="113"/>
    </row>
    <row r="455" spans="1:28" s="4" customFormat="1" ht="12.75" x14ac:dyDescent="0.2">
      <c r="A455" s="106"/>
      <c r="M455" s="37"/>
      <c r="N455" s="113"/>
      <c r="O455" s="113"/>
      <c r="P455" s="113"/>
      <c r="Q455" s="113"/>
      <c r="R455" s="113"/>
      <c r="S455" s="113"/>
      <c r="T455" s="113"/>
      <c r="U455" s="113"/>
      <c r="V455" s="113"/>
      <c r="W455" s="113"/>
      <c r="X455" s="113"/>
      <c r="Y455" s="113"/>
      <c r="Z455" s="113"/>
      <c r="AA455" s="113"/>
      <c r="AB455" s="113"/>
    </row>
    <row r="456" spans="1:28" s="4" customFormat="1" ht="12.75" x14ac:dyDescent="0.2">
      <c r="A456" s="106"/>
      <c r="M456" s="37"/>
      <c r="N456" s="113"/>
      <c r="O456" s="113"/>
      <c r="P456" s="113"/>
      <c r="Q456" s="113"/>
      <c r="R456" s="113"/>
      <c r="S456" s="113"/>
      <c r="T456" s="113"/>
      <c r="U456" s="113"/>
      <c r="V456" s="113"/>
      <c r="W456" s="113"/>
      <c r="X456" s="113"/>
      <c r="Y456" s="113"/>
      <c r="Z456" s="113"/>
      <c r="AA456" s="113"/>
      <c r="AB456" s="113"/>
    </row>
    <row r="457" spans="1:28" s="4" customFormat="1" ht="12.75" x14ac:dyDescent="0.2">
      <c r="A457" s="106"/>
      <c r="M457" s="37"/>
      <c r="N457" s="113"/>
      <c r="O457" s="113"/>
      <c r="P457" s="113"/>
      <c r="Q457" s="113"/>
      <c r="R457" s="113"/>
      <c r="S457" s="113"/>
      <c r="T457" s="113"/>
      <c r="U457" s="113"/>
      <c r="V457" s="113"/>
      <c r="W457" s="113"/>
      <c r="X457" s="113"/>
      <c r="Y457" s="113"/>
      <c r="Z457" s="113"/>
      <c r="AA457" s="113"/>
      <c r="AB457" s="113"/>
    </row>
    <row r="458" spans="1:28" s="4" customFormat="1" ht="12.75" x14ac:dyDescent="0.2">
      <c r="A458" s="106"/>
      <c r="M458" s="37"/>
      <c r="N458" s="113"/>
      <c r="O458" s="113"/>
      <c r="P458" s="113"/>
      <c r="Q458" s="113"/>
      <c r="R458" s="113"/>
      <c r="S458" s="113"/>
      <c r="T458" s="113"/>
      <c r="U458" s="113"/>
      <c r="V458" s="113"/>
      <c r="W458" s="113"/>
      <c r="X458" s="113"/>
      <c r="Y458" s="113"/>
      <c r="Z458" s="113"/>
      <c r="AA458" s="113"/>
      <c r="AB458" s="113"/>
    </row>
    <row r="459" spans="1:28" s="4" customFormat="1" ht="12.75" x14ac:dyDescent="0.2">
      <c r="A459" s="106"/>
      <c r="M459" s="37"/>
      <c r="N459" s="113"/>
      <c r="O459" s="113"/>
      <c r="P459" s="113"/>
      <c r="Q459" s="113"/>
      <c r="R459" s="113"/>
      <c r="S459" s="113"/>
      <c r="T459" s="113"/>
      <c r="U459" s="113"/>
      <c r="V459" s="113"/>
      <c r="W459" s="113"/>
      <c r="X459" s="113"/>
      <c r="Y459" s="113"/>
      <c r="Z459" s="113"/>
      <c r="AA459" s="113"/>
      <c r="AB459" s="113"/>
    </row>
    <row r="460" spans="1:28" s="4" customFormat="1" ht="12.75" x14ac:dyDescent="0.2">
      <c r="A460" s="106"/>
      <c r="M460" s="37"/>
      <c r="N460" s="113"/>
      <c r="O460" s="113"/>
      <c r="P460" s="113"/>
      <c r="Q460" s="113"/>
      <c r="R460" s="113"/>
      <c r="S460" s="113"/>
      <c r="T460" s="113"/>
      <c r="U460" s="113"/>
      <c r="V460" s="113"/>
      <c r="W460" s="113"/>
      <c r="X460" s="113"/>
      <c r="Y460" s="113"/>
      <c r="Z460" s="113"/>
      <c r="AA460" s="113"/>
      <c r="AB460" s="113"/>
    </row>
    <row r="461" spans="1:28" s="4" customFormat="1" ht="12.75" x14ac:dyDescent="0.2">
      <c r="A461" s="106"/>
      <c r="M461" s="37"/>
      <c r="N461" s="113"/>
      <c r="O461" s="113"/>
      <c r="P461" s="113"/>
      <c r="Q461" s="113"/>
      <c r="R461" s="113"/>
      <c r="S461" s="113"/>
      <c r="T461" s="113"/>
      <c r="U461" s="113"/>
      <c r="V461" s="113"/>
      <c r="W461" s="113"/>
      <c r="X461" s="113"/>
      <c r="Y461" s="113"/>
      <c r="Z461" s="113"/>
      <c r="AA461" s="113"/>
      <c r="AB461" s="113"/>
    </row>
    <row r="462" spans="1:28" s="4" customFormat="1" ht="12.75" x14ac:dyDescent="0.2">
      <c r="A462" s="106"/>
      <c r="M462" s="37"/>
      <c r="N462" s="113"/>
      <c r="O462" s="113"/>
      <c r="P462" s="113"/>
      <c r="Q462" s="113"/>
      <c r="R462" s="113"/>
      <c r="S462" s="113"/>
      <c r="T462" s="113"/>
      <c r="U462" s="113"/>
      <c r="V462" s="113"/>
      <c r="W462" s="113"/>
      <c r="X462" s="113"/>
      <c r="Y462" s="113"/>
      <c r="Z462" s="113"/>
      <c r="AA462" s="113"/>
      <c r="AB462" s="113"/>
    </row>
    <row r="463" spans="1:28" s="4" customFormat="1" ht="12.75" x14ac:dyDescent="0.2">
      <c r="A463" s="106"/>
      <c r="M463" s="37"/>
      <c r="N463" s="113"/>
      <c r="O463" s="113"/>
      <c r="P463" s="113"/>
      <c r="Q463" s="113"/>
      <c r="R463" s="113"/>
      <c r="S463" s="113"/>
      <c r="T463" s="113"/>
      <c r="U463" s="113"/>
      <c r="V463" s="113"/>
      <c r="W463" s="113"/>
      <c r="X463" s="113"/>
      <c r="Y463" s="113"/>
      <c r="Z463" s="113"/>
      <c r="AA463" s="113"/>
      <c r="AB463" s="113"/>
    </row>
    <row r="464" spans="1:28" s="4" customFormat="1" ht="12.75" x14ac:dyDescent="0.2">
      <c r="A464" s="106"/>
      <c r="M464" s="37"/>
      <c r="N464" s="113"/>
      <c r="O464" s="113"/>
      <c r="P464" s="113"/>
      <c r="Q464" s="113"/>
      <c r="R464" s="113"/>
      <c r="S464" s="113"/>
      <c r="T464" s="113"/>
      <c r="U464" s="113"/>
      <c r="V464" s="113"/>
      <c r="W464" s="113"/>
      <c r="X464" s="113"/>
      <c r="Y464" s="113"/>
      <c r="Z464" s="113"/>
      <c r="AA464" s="113"/>
      <c r="AB464" s="113"/>
    </row>
    <row r="465" spans="1:28" s="4" customFormat="1" ht="12.75" x14ac:dyDescent="0.2">
      <c r="A465" s="106"/>
      <c r="M465" s="37"/>
      <c r="N465" s="113"/>
      <c r="O465" s="113"/>
      <c r="P465" s="113"/>
      <c r="Q465" s="113"/>
      <c r="R465" s="113"/>
      <c r="S465" s="113"/>
      <c r="T465" s="113"/>
      <c r="U465" s="113"/>
      <c r="V465" s="113"/>
      <c r="W465" s="113"/>
      <c r="X465" s="113"/>
      <c r="Y465" s="113"/>
      <c r="Z465" s="113"/>
      <c r="AA465" s="113"/>
      <c r="AB465" s="113"/>
    </row>
    <row r="466" spans="1:28" s="4" customFormat="1" ht="12.75" x14ac:dyDescent="0.2">
      <c r="A466" s="106"/>
      <c r="M466" s="37"/>
      <c r="N466" s="113"/>
      <c r="O466" s="113"/>
      <c r="P466" s="113"/>
      <c r="Q466" s="113"/>
      <c r="R466" s="113"/>
      <c r="S466" s="113"/>
      <c r="T466" s="113"/>
      <c r="U466" s="113"/>
      <c r="V466" s="113"/>
      <c r="W466" s="113"/>
      <c r="X466" s="113"/>
      <c r="Y466" s="113"/>
      <c r="Z466" s="113"/>
      <c r="AA466" s="113"/>
      <c r="AB466" s="113"/>
    </row>
  </sheetData>
  <mergeCells count="122">
    <mergeCell ref="L396:L397"/>
    <mergeCell ref="B346:C346"/>
    <mergeCell ref="B347:C347"/>
    <mergeCell ref="B349:E349"/>
    <mergeCell ref="I350:K350"/>
    <mergeCell ref="I351:K351"/>
    <mergeCell ref="B353:E353"/>
    <mergeCell ref="B339:C339"/>
    <mergeCell ref="B340:C340"/>
    <mergeCell ref="B341:C341"/>
    <mergeCell ref="B343:C343"/>
    <mergeCell ref="B344:C344"/>
    <mergeCell ref="B345:C345"/>
    <mergeCell ref="K376:L376"/>
    <mergeCell ref="D377:F377"/>
    <mergeCell ref="L393:L394"/>
    <mergeCell ref="B357:E357"/>
    <mergeCell ref="B362:E362"/>
    <mergeCell ref="J362:K362"/>
    <mergeCell ref="D367:F367"/>
    <mergeCell ref="K371:L371"/>
    <mergeCell ref="D372:F372"/>
    <mergeCell ref="H232:K232"/>
    <mergeCell ref="C289:D289"/>
    <mergeCell ref="C293:D293"/>
    <mergeCell ref="C297:D297"/>
    <mergeCell ref="C301:D301"/>
    <mergeCell ref="B338:C338"/>
    <mergeCell ref="J226:K226"/>
    <mergeCell ref="J227:K227"/>
    <mergeCell ref="J228:K228"/>
    <mergeCell ref="J229:K229"/>
    <mergeCell ref="J230:K230"/>
    <mergeCell ref="J231:K231"/>
    <mergeCell ref="J220:K220"/>
    <mergeCell ref="J221:K221"/>
    <mergeCell ref="J222:K222"/>
    <mergeCell ref="J223:K223"/>
    <mergeCell ref="J224:K224"/>
    <mergeCell ref="J225:K225"/>
    <mergeCell ref="L217:L219"/>
    <mergeCell ref="E218:E219"/>
    <mergeCell ref="F218:F219"/>
    <mergeCell ref="G218:G219"/>
    <mergeCell ref="H218:H219"/>
    <mergeCell ref="I218:I219"/>
    <mergeCell ref="J218:K219"/>
    <mergeCell ref="H198:K198"/>
    <mergeCell ref="B217:B218"/>
    <mergeCell ref="C217:C219"/>
    <mergeCell ref="D217:D219"/>
    <mergeCell ref="E217:G217"/>
    <mergeCell ref="H217:K217"/>
    <mergeCell ref="J192:K192"/>
    <mergeCell ref="J193:K193"/>
    <mergeCell ref="J194:K194"/>
    <mergeCell ref="J195:K195"/>
    <mergeCell ref="J196:K196"/>
    <mergeCell ref="J197:K197"/>
    <mergeCell ref="O8:T8"/>
    <mergeCell ref="O10:Q10"/>
    <mergeCell ref="L149:L151"/>
    <mergeCell ref="E150:E151"/>
    <mergeCell ref="F150:F151"/>
    <mergeCell ref="G150:G151"/>
    <mergeCell ref="H150:H151"/>
    <mergeCell ref="O11:Q11"/>
    <mergeCell ref="O13:Q13"/>
    <mergeCell ref="O15:Q15"/>
    <mergeCell ref="O29:Q29"/>
    <mergeCell ref="O53:Q53"/>
    <mergeCell ref="D71:E71"/>
    <mergeCell ref="G71:H71"/>
    <mergeCell ref="I150:I151"/>
    <mergeCell ref="J150:K151"/>
    <mergeCell ref="D149:D151"/>
    <mergeCell ref="E149:G149"/>
    <mergeCell ref="H149:K149"/>
    <mergeCell ref="F184:F185"/>
    <mergeCell ref="A1:L1"/>
    <mergeCell ref="J152:K152"/>
    <mergeCell ref="J153:K153"/>
    <mergeCell ref="J154:K154"/>
    <mergeCell ref="J155:K155"/>
    <mergeCell ref="B149:B150"/>
    <mergeCell ref="C149:C151"/>
    <mergeCell ref="J162:K162"/>
    <mergeCell ref="J163:K163"/>
    <mergeCell ref="J156:K156"/>
    <mergeCell ref="J157:K157"/>
    <mergeCell ref="J158:K158"/>
    <mergeCell ref="J159:K159"/>
    <mergeCell ref="J160:K160"/>
    <mergeCell ref="J161:K161"/>
    <mergeCell ref="G184:G185"/>
    <mergeCell ref="H184:H185"/>
    <mergeCell ref="I184:I185"/>
    <mergeCell ref="J184:K185"/>
    <mergeCell ref="M293:O293"/>
    <mergeCell ref="M350:M351"/>
    <mergeCell ref="A3:L3"/>
    <mergeCell ref="A4:L4"/>
    <mergeCell ref="H236:J238"/>
    <mergeCell ref="M393:M394"/>
    <mergeCell ref="M396:M397"/>
    <mergeCell ref="E394:G394"/>
    <mergeCell ref="I393:K394"/>
    <mergeCell ref="I396:K397"/>
    <mergeCell ref="H164:K164"/>
    <mergeCell ref="B183:B184"/>
    <mergeCell ref="C183:C185"/>
    <mergeCell ref="D183:D185"/>
    <mergeCell ref="E183:G183"/>
    <mergeCell ref="H183:K183"/>
    <mergeCell ref="J186:K186"/>
    <mergeCell ref="J187:K187"/>
    <mergeCell ref="J188:K188"/>
    <mergeCell ref="J189:K189"/>
    <mergeCell ref="J190:K190"/>
    <mergeCell ref="J191:K191"/>
    <mergeCell ref="L183:L185"/>
    <mergeCell ref="E184:E185"/>
  </mergeCells>
  <printOptions horizontalCentered="1"/>
  <pageMargins left="0.11811023622047245" right="0.11811023622047245" top="0.39370078740157483" bottom="0.19685039370078741" header="0.31496062992125984" footer="0.31496062992125984"/>
  <pageSetup paperSize="9" scale="6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>
      <selection activeCell="D29" sqref="D29"/>
    </sheetView>
  </sheetViews>
  <sheetFormatPr defaultRowHeight="12.75" x14ac:dyDescent="0.2"/>
  <cols>
    <col min="1" max="1" width="90.7109375" style="217" customWidth="1"/>
  </cols>
  <sheetData>
    <row r="1" spans="1:1" x14ac:dyDescent="0.2">
      <c r="A1" s="219" t="s">
        <v>295</v>
      </c>
    </row>
    <row r="2" spans="1:1" x14ac:dyDescent="0.2">
      <c r="A2" s="218"/>
    </row>
    <row r="3" spans="1:1" x14ac:dyDescent="0.2">
      <c r="A3" s="219" t="s">
        <v>308</v>
      </c>
    </row>
    <row r="4" spans="1:1" x14ac:dyDescent="0.2">
      <c r="A4" s="218"/>
    </row>
    <row r="5" spans="1:1" x14ac:dyDescent="0.2">
      <c r="A5" s="218" t="s">
        <v>309</v>
      </c>
    </row>
    <row r="6" spans="1:1" ht="25.5" x14ac:dyDescent="0.2">
      <c r="A6" s="218" t="s">
        <v>296</v>
      </c>
    </row>
    <row r="7" spans="1:1" x14ac:dyDescent="0.2">
      <c r="A7" s="218" t="s">
        <v>310</v>
      </c>
    </row>
    <row r="8" spans="1:1" x14ac:dyDescent="0.2">
      <c r="A8" s="218" t="s">
        <v>297</v>
      </c>
    </row>
    <row r="9" spans="1:1" x14ac:dyDescent="0.2">
      <c r="A9" s="218" t="s">
        <v>311</v>
      </c>
    </row>
    <row r="10" spans="1:1" x14ac:dyDescent="0.2">
      <c r="A10" s="218" t="s">
        <v>312</v>
      </c>
    </row>
    <row r="11" spans="1:1" ht="25.5" x14ac:dyDescent="0.2">
      <c r="A11" s="218" t="s">
        <v>298</v>
      </c>
    </row>
    <row r="12" spans="1:1" x14ac:dyDescent="0.2">
      <c r="A12" s="218"/>
    </row>
    <row r="13" spans="1:1" x14ac:dyDescent="0.2">
      <c r="A13" s="218" t="s">
        <v>313</v>
      </c>
    </row>
    <row r="14" spans="1:1" ht="25.5" x14ac:dyDescent="0.2">
      <c r="A14" s="218" t="s">
        <v>324</v>
      </c>
    </row>
    <row r="15" spans="1:1" x14ac:dyDescent="0.2">
      <c r="A15" s="218" t="s">
        <v>314</v>
      </c>
    </row>
    <row r="16" spans="1:1" ht="25.5" x14ac:dyDescent="0.2">
      <c r="A16" s="218" t="s">
        <v>299</v>
      </c>
    </row>
    <row r="17" spans="1:1" x14ac:dyDescent="0.2">
      <c r="A17" s="218"/>
    </row>
    <row r="18" spans="1:1" x14ac:dyDescent="0.2">
      <c r="A18" s="219" t="s">
        <v>315</v>
      </c>
    </row>
    <row r="19" spans="1:1" x14ac:dyDescent="0.2">
      <c r="A19" s="218"/>
    </row>
    <row r="20" spans="1:1" x14ac:dyDescent="0.2">
      <c r="A20" s="218" t="s">
        <v>316</v>
      </c>
    </row>
    <row r="21" spans="1:1" ht="38.25" x14ac:dyDescent="0.2">
      <c r="A21" s="218" t="s">
        <v>300</v>
      </c>
    </row>
    <row r="22" spans="1:1" x14ac:dyDescent="0.2">
      <c r="A22" s="218" t="s">
        <v>317</v>
      </c>
    </row>
    <row r="23" spans="1:1" ht="38.25" x14ac:dyDescent="0.2">
      <c r="A23" s="218" t="s">
        <v>318</v>
      </c>
    </row>
    <row r="24" spans="1:1" x14ac:dyDescent="0.2">
      <c r="A24" s="218" t="s">
        <v>301</v>
      </c>
    </row>
    <row r="25" spans="1:1" x14ac:dyDescent="0.2">
      <c r="A25" s="218"/>
    </row>
    <row r="26" spans="1:1" x14ac:dyDescent="0.2">
      <c r="A26" s="218" t="s">
        <v>319</v>
      </c>
    </row>
    <row r="27" spans="1:1" ht="25.5" x14ac:dyDescent="0.2">
      <c r="A27" s="218" t="s">
        <v>302</v>
      </c>
    </row>
    <row r="28" spans="1:1" x14ac:dyDescent="0.2">
      <c r="A28" s="218" t="s">
        <v>320</v>
      </c>
    </row>
    <row r="29" spans="1:1" ht="25.5" x14ac:dyDescent="0.2">
      <c r="A29" s="218" t="s">
        <v>302</v>
      </c>
    </row>
    <row r="30" spans="1:1" x14ac:dyDescent="0.2">
      <c r="A30" s="218" t="s">
        <v>321</v>
      </c>
    </row>
    <row r="31" spans="1:1" ht="25.5" x14ac:dyDescent="0.2">
      <c r="A31" s="218" t="s">
        <v>302</v>
      </c>
    </row>
    <row r="32" spans="1:1" x14ac:dyDescent="0.2">
      <c r="A32" s="218" t="s">
        <v>322</v>
      </c>
    </row>
    <row r="33" spans="1:1" ht="51" x14ac:dyDescent="0.2">
      <c r="A33" s="218" t="s">
        <v>326</v>
      </c>
    </row>
    <row r="34" spans="1:1" x14ac:dyDescent="0.2">
      <c r="A34" s="218" t="s">
        <v>303</v>
      </c>
    </row>
    <row r="35" spans="1:1" ht="25.5" x14ac:dyDescent="0.2">
      <c r="A35" s="218" t="s">
        <v>325</v>
      </c>
    </row>
    <row r="36" spans="1:1" x14ac:dyDescent="0.2">
      <c r="A36" s="218" t="s">
        <v>304</v>
      </c>
    </row>
    <row r="37" spans="1:1" x14ac:dyDescent="0.2">
      <c r="A37" s="218" t="s">
        <v>323</v>
      </c>
    </row>
    <row r="38" spans="1:1" x14ac:dyDescent="0.2">
      <c r="A38" s="218" t="s">
        <v>305</v>
      </c>
    </row>
    <row r="39" spans="1:1" ht="25.5" x14ac:dyDescent="0.2">
      <c r="A39" s="218" t="s">
        <v>306</v>
      </c>
    </row>
    <row r="40" spans="1:1" x14ac:dyDescent="0.2">
      <c r="A40" s="218" t="s">
        <v>307</v>
      </c>
    </row>
    <row r="41" spans="1:1" ht="25.5" x14ac:dyDescent="0.2">
      <c r="A41" s="218" t="s">
        <v>306</v>
      </c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1</vt:i4>
      </vt:variant>
    </vt:vector>
  </HeadingPairs>
  <TitlesOfParts>
    <vt:vector size="4" baseType="lpstr">
      <vt:lpstr>INDICES </vt:lpstr>
      <vt:lpstr>COMPOSIÇÃO TOTAL</vt:lpstr>
      <vt:lpstr>ORIGEM DE PREÇOS</vt:lpstr>
      <vt:lpstr>'COMPOSIÇÃO TOTAL'!Area_de_impressao</vt:lpstr>
    </vt:vector>
  </TitlesOfParts>
  <Company>ruaviva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liane born</dc:creator>
  <cp:lastModifiedBy>59829</cp:lastModifiedBy>
  <cp:lastPrinted>2023-07-18T17:50:24Z</cp:lastPrinted>
  <dcterms:created xsi:type="dcterms:W3CDTF">2001-02-22T13:09:00Z</dcterms:created>
  <dcterms:modified xsi:type="dcterms:W3CDTF">2023-07-18T17:53:27Z</dcterms:modified>
</cp:coreProperties>
</file>